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omes.surrey.ac.uk\home\Dissertation\"/>
    </mc:Choice>
  </mc:AlternateContent>
  <bookViews>
    <workbookView xWindow="0" yWindow="0" windowWidth="14370" windowHeight="7530"/>
  </bookViews>
  <sheets>
    <sheet name="Panel" sheetId="1" r:id="rId1"/>
    <sheet name="Time Seri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82" i="2" l="1"/>
  <c r="R182" i="2"/>
  <c r="Q182" i="2"/>
  <c r="P182" i="2"/>
  <c r="O182" i="2"/>
  <c r="M182" i="2"/>
  <c r="L182" i="2"/>
  <c r="K182" i="2"/>
  <c r="J182" i="2"/>
  <c r="I182" i="2"/>
  <c r="H182" i="2"/>
  <c r="G182" i="2"/>
  <c r="F182" i="2"/>
  <c r="E182" i="2"/>
  <c r="D182" i="2"/>
  <c r="C182" i="2"/>
  <c r="B182" i="2"/>
  <c r="S181" i="2"/>
  <c r="R181" i="2"/>
  <c r="Q181" i="2"/>
  <c r="P181" i="2"/>
  <c r="O181" i="2"/>
  <c r="M181" i="2"/>
  <c r="L181" i="2"/>
  <c r="K181" i="2"/>
  <c r="J181" i="2"/>
  <c r="I181" i="2"/>
  <c r="H181" i="2"/>
  <c r="G181" i="2"/>
  <c r="F181" i="2"/>
  <c r="E181" i="2"/>
  <c r="D181" i="2"/>
  <c r="C181" i="2"/>
  <c r="B181" i="2"/>
  <c r="S180" i="2"/>
  <c r="R180" i="2"/>
  <c r="Q180" i="2"/>
  <c r="P180" i="2"/>
  <c r="O180" i="2"/>
  <c r="M180" i="2"/>
  <c r="L180" i="2"/>
  <c r="K180" i="2"/>
  <c r="J180" i="2"/>
  <c r="I180" i="2"/>
  <c r="H180" i="2"/>
  <c r="G180" i="2"/>
  <c r="F180" i="2"/>
  <c r="E180" i="2"/>
  <c r="D180" i="2"/>
  <c r="C180" i="2"/>
  <c r="B180" i="2"/>
  <c r="S179" i="2"/>
  <c r="R179" i="2"/>
  <c r="Q179" i="2"/>
  <c r="P179" i="2"/>
  <c r="O179" i="2"/>
  <c r="M179" i="2"/>
  <c r="L179" i="2"/>
  <c r="K179" i="2"/>
  <c r="J179" i="2"/>
  <c r="I179" i="2"/>
  <c r="H179" i="2"/>
  <c r="G179" i="2"/>
  <c r="F179" i="2"/>
  <c r="E179" i="2"/>
  <c r="D179" i="2"/>
  <c r="C179" i="2"/>
  <c r="B179" i="2"/>
  <c r="S178" i="2"/>
  <c r="R178" i="2"/>
  <c r="Q178" i="2"/>
  <c r="P178" i="2"/>
  <c r="O178" i="2"/>
  <c r="M178" i="2"/>
  <c r="L178" i="2"/>
  <c r="K178" i="2"/>
  <c r="J178" i="2"/>
  <c r="I178" i="2"/>
  <c r="H178" i="2"/>
  <c r="G178" i="2"/>
  <c r="F178" i="2"/>
  <c r="E178" i="2"/>
  <c r="D178" i="2"/>
  <c r="C178" i="2"/>
  <c r="B178" i="2"/>
  <c r="S177" i="2"/>
  <c r="R177" i="2"/>
  <c r="Q177" i="2"/>
  <c r="P177" i="2"/>
  <c r="O177" i="2"/>
  <c r="M177" i="2"/>
  <c r="L177" i="2"/>
  <c r="K177" i="2"/>
  <c r="J177" i="2"/>
  <c r="I177" i="2"/>
  <c r="H177" i="2"/>
  <c r="G177" i="2"/>
  <c r="F177" i="2"/>
  <c r="E177" i="2"/>
  <c r="D177" i="2"/>
  <c r="C177" i="2"/>
  <c r="B177" i="2"/>
  <c r="S176" i="2"/>
  <c r="R176" i="2"/>
  <c r="Q176" i="2"/>
  <c r="P176" i="2"/>
  <c r="O176" i="2"/>
  <c r="M176" i="2"/>
  <c r="L176" i="2"/>
  <c r="K176" i="2"/>
  <c r="J176" i="2"/>
  <c r="I176" i="2"/>
  <c r="H176" i="2"/>
  <c r="G176" i="2"/>
  <c r="F176" i="2"/>
  <c r="E176" i="2"/>
  <c r="D176" i="2"/>
  <c r="C176" i="2"/>
  <c r="B176" i="2"/>
  <c r="S175" i="2"/>
  <c r="R175" i="2"/>
  <c r="Q175" i="2"/>
  <c r="P175" i="2"/>
  <c r="O175" i="2"/>
  <c r="M175" i="2"/>
  <c r="L175" i="2"/>
  <c r="K175" i="2"/>
  <c r="J175" i="2"/>
  <c r="I175" i="2"/>
  <c r="H175" i="2"/>
  <c r="G175" i="2"/>
  <c r="F175" i="2"/>
  <c r="E175" i="2"/>
  <c r="D175" i="2"/>
  <c r="C175" i="2"/>
  <c r="B175" i="2"/>
  <c r="S174" i="2"/>
  <c r="R174" i="2"/>
  <c r="Q174" i="2"/>
  <c r="P174" i="2"/>
  <c r="O174" i="2"/>
  <c r="M174" i="2"/>
  <c r="L174" i="2"/>
  <c r="K174" i="2"/>
  <c r="J174" i="2"/>
  <c r="I174" i="2"/>
  <c r="H174" i="2"/>
  <c r="G174" i="2"/>
  <c r="F174" i="2"/>
  <c r="E174" i="2"/>
  <c r="D174" i="2"/>
  <c r="C174" i="2"/>
  <c r="B174" i="2"/>
  <c r="S173" i="2"/>
  <c r="R173" i="2"/>
  <c r="Q173" i="2"/>
  <c r="P173" i="2"/>
  <c r="O173" i="2"/>
  <c r="M173" i="2"/>
  <c r="L173" i="2"/>
  <c r="K173" i="2"/>
  <c r="J173" i="2"/>
  <c r="I173" i="2"/>
  <c r="H173" i="2"/>
  <c r="G173" i="2"/>
  <c r="F173" i="2"/>
  <c r="E173" i="2"/>
  <c r="D173" i="2"/>
  <c r="C173" i="2"/>
  <c r="B173" i="2"/>
  <c r="S172" i="2"/>
  <c r="R172" i="2"/>
  <c r="Q172" i="2"/>
  <c r="P172" i="2"/>
  <c r="O172" i="2"/>
  <c r="M172" i="2"/>
  <c r="L172" i="2"/>
  <c r="K172" i="2"/>
  <c r="J172" i="2"/>
  <c r="I172" i="2"/>
  <c r="H172" i="2"/>
  <c r="G172" i="2"/>
  <c r="F172" i="2"/>
  <c r="E172" i="2"/>
  <c r="D172" i="2"/>
  <c r="C172" i="2"/>
  <c r="B172" i="2"/>
  <c r="S171" i="2"/>
  <c r="R171" i="2"/>
  <c r="Q171" i="2"/>
  <c r="P171" i="2"/>
  <c r="O171" i="2"/>
  <c r="M171" i="2"/>
  <c r="L171" i="2"/>
  <c r="K171" i="2"/>
  <c r="J171" i="2"/>
  <c r="I171" i="2"/>
  <c r="H171" i="2"/>
  <c r="G171" i="2"/>
  <c r="F171" i="2"/>
  <c r="E171" i="2"/>
  <c r="D171" i="2"/>
  <c r="C171" i="2"/>
  <c r="B171" i="2"/>
  <c r="S170" i="2"/>
  <c r="R170" i="2"/>
  <c r="Q170" i="2"/>
  <c r="P170" i="2"/>
  <c r="O170" i="2"/>
  <c r="M170" i="2"/>
  <c r="L170" i="2"/>
  <c r="K170" i="2"/>
  <c r="J170" i="2"/>
  <c r="I170" i="2"/>
  <c r="H170" i="2"/>
  <c r="G170" i="2"/>
  <c r="F170" i="2"/>
  <c r="E170" i="2"/>
  <c r="D170" i="2"/>
  <c r="C170" i="2"/>
  <c r="B170" i="2"/>
  <c r="S169" i="2"/>
  <c r="R169" i="2"/>
  <c r="Q169" i="2"/>
  <c r="P169" i="2"/>
  <c r="O169" i="2"/>
  <c r="M169" i="2"/>
  <c r="L169" i="2"/>
  <c r="K169" i="2"/>
  <c r="J169" i="2"/>
  <c r="I169" i="2"/>
  <c r="H169" i="2"/>
  <c r="G169" i="2"/>
  <c r="F169" i="2"/>
  <c r="E169" i="2"/>
  <c r="D169" i="2"/>
  <c r="C169" i="2"/>
  <c r="B169" i="2"/>
  <c r="S168" i="2"/>
  <c r="R168" i="2"/>
  <c r="Q168" i="2"/>
  <c r="P168" i="2"/>
  <c r="O168" i="2"/>
  <c r="M168" i="2"/>
  <c r="L168" i="2"/>
  <c r="K168" i="2"/>
  <c r="J168" i="2"/>
  <c r="I168" i="2"/>
  <c r="H168" i="2"/>
  <c r="G168" i="2"/>
  <c r="F168" i="2"/>
  <c r="E168" i="2"/>
  <c r="D168" i="2"/>
  <c r="C168" i="2"/>
  <c r="B168" i="2"/>
  <c r="S167" i="2"/>
  <c r="R167" i="2"/>
  <c r="Q167" i="2"/>
  <c r="P167" i="2"/>
  <c r="O167" i="2"/>
  <c r="M167" i="2"/>
  <c r="L167" i="2"/>
  <c r="K167" i="2"/>
  <c r="J167" i="2"/>
  <c r="I167" i="2"/>
  <c r="H167" i="2"/>
  <c r="G167" i="2"/>
  <c r="F167" i="2"/>
  <c r="E167" i="2"/>
  <c r="D167" i="2"/>
  <c r="C167" i="2"/>
  <c r="B167" i="2"/>
  <c r="S166" i="2"/>
  <c r="R166" i="2"/>
  <c r="Q166" i="2"/>
  <c r="P166" i="2"/>
  <c r="O166" i="2"/>
  <c r="M166" i="2"/>
  <c r="L166" i="2"/>
  <c r="K166" i="2"/>
  <c r="J166" i="2"/>
  <c r="I166" i="2"/>
  <c r="H166" i="2"/>
  <c r="G166" i="2"/>
  <c r="F166" i="2"/>
  <c r="E166" i="2"/>
  <c r="D166" i="2"/>
  <c r="C166" i="2"/>
  <c r="B166" i="2"/>
  <c r="S165" i="2"/>
  <c r="R165" i="2"/>
  <c r="Q165" i="2"/>
  <c r="P165" i="2"/>
  <c r="O165" i="2"/>
  <c r="M165" i="2"/>
  <c r="L165" i="2"/>
  <c r="K165" i="2"/>
  <c r="J165" i="2"/>
  <c r="I165" i="2"/>
  <c r="H165" i="2"/>
  <c r="G165" i="2"/>
  <c r="F165" i="2"/>
  <c r="E165" i="2"/>
  <c r="D165" i="2"/>
  <c r="C165" i="2"/>
  <c r="B165" i="2"/>
  <c r="S164" i="2"/>
  <c r="R164" i="2"/>
  <c r="Q164" i="2"/>
  <c r="P164" i="2"/>
  <c r="O164" i="2"/>
  <c r="M164" i="2"/>
  <c r="L164" i="2"/>
  <c r="K164" i="2"/>
  <c r="J164" i="2"/>
  <c r="I164" i="2"/>
  <c r="H164" i="2"/>
  <c r="G164" i="2"/>
  <c r="F164" i="2"/>
  <c r="E164" i="2"/>
  <c r="D164" i="2"/>
  <c r="C164" i="2"/>
  <c r="B164" i="2"/>
  <c r="S163" i="2"/>
  <c r="R163" i="2"/>
  <c r="Q163" i="2"/>
  <c r="P163" i="2"/>
  <c r="O163" i="2"/>
  <c r="M163" i="2"/>
  <c r="L163" i="2"/>
  <c r="K163" i="2"/>
  <c r="J163" i="2"/>
  <c r="I163" i="2"/>
  <c r="H163" i="2"/>
  <c r="G163" i="2"/>
  <c r="F163" i="2"/>
  <c r="E163" i="2"/>
  <c r="D163" i="2"/>
  <c r="C163" i="2"/>
  <c r="B163" i="2"/>
  <c r="S162" i="2"/>
  <c r="R162" i="2"/>
  <c r="Q162" i="2"/>
  <c r="P162" i="2"/>
  <c r="O162" i="2"/>
  <c r="M162" i="2"/>
  <c r="L162" i="2"/>
  <c r="K162" i="2"/>
  <c r="J162" i="2"/>
  <c r="I162" i="2"/>
  <c r="H162" i="2"/>
  <c r="G162" i="2"/>
  <c r="F162" i="2"/>
  <c r="E162" i="2"/>
  <c r="D162" i="2"/>
  <c r="C162" i="2"/>
  <c r="B162" i="2"/>
  <c r="S161" i="2"/>
  <c r="R161" i="2"/>
  <c r="Q161" i="2"/>
  <c r="P161" i="2"/>
  <c r="O161" i="2"/>
  <c r="M161" i="2"/>
  <c r="L161" i="2"/>
  <c r="K161" i="2"/>
  <c r="J161" i="2"/>
  <c r="I161" i="2"/>
  <c r="H161" i="2"/>
  <c r="G161" i="2"/>
  <c r="F161" i="2"/>
  <c r="E161" i="2"/>
  <c r="D161" i="2"/>
  <c r="C161" i="2"/>
  <c r="B161" i="2"/>
  <c r="S160" i="2"/>
  <c r="R160" i="2"/>
  <c r="Q160" i="2"/>
  <c r="P160" i="2"/>
  <c r="O160" i="2"/>
  <c r="M160" i="2"/>
  <c r="L160" i="2"/>
  <c r="K160" i="2"/>
  <c r="J160" i="2"/>
  <c r="I160" i="2"/>
  <c r="H160" i="2"/>
  <c r="G160" i="2"/>
  <c r="F160" i="2"/>
  <c r="E160" i="2"/>
  <c r="D160" i="2"/>
  <c r="C160" i="2"/>
  <c r="B160" i="2"/>
  <c r="S159" i="2"/>
  <c r="R159" i="2"/>
  <c r="Q159" i="2"/>
  <c r="P159" i="2"/>
  <c r="O159" i="2"/>
  <c r="M159" i="2"/>
  <c r="L159" i="2"/>
  <c r="K159" i="2"/>
  <c r="J159" i="2"/>
  <c r="I159" i="2"/>
  <c r="H159" i="2"/>
  <c r="G159" i="2"/>
  <c r="F159" i="2"/>
  <c r="E159" i="2"/>
  <c r="D159" i="2"/>
  <c r="C159" i="2"/>
  <c r="B159" i="2"/>
  <c r="S158" i="2"/>
  <c r="R158" i="2"/>
  <c r="Q158" i="2"/>
  <c r="P158" i="2"/>
  <c r="O158" i="2"/>
  <c r="M158" i="2"/>
  <c r="L158" i="2"/>
  <c r="K158" i="2"/>
  <c r="J158" i="2"/>
  <c r="I158" i="2"/>
  <c r="H158" i="2"/>
  <c r="G158" i="2"/>
  <c r="F158" i="2"/>
  <c r="E158" i="2"/>
  <c r="D158" i="2"/>
  <c r="C158" i="2"/>
  <c r="B158" i="2"/>
  <c r="S157" i="2"/>
  <c r="R157" i="2"/>
  <c r="Q157" i="2"/>
  <c r="P157" i="2"/>
  <c r="O157" i="2"/>
  <c r="M157" i="2"/>
  <c r="L157" i="2"/>
  <c r="K157" i="2"/>
  <c r="J157" i="2"/>
  <c r="I157" i="2"/>
  <c r="H157" i="2"/>
  <c r="G157" i="2"/>
  <c r="F157" i="2"/>
  <c r="E157" i="2"/>
  <c r="D157" i="2"/>
  <c r="C157" i="2"/>
  <c r="B157" i="2"/>
  <c r="S156" i="2"/>
  <c r="R156" i="2"/>
  <c r="Q156" i="2"/>
  <c r="P156" i="2"/>
  <c r="O156" i="2"/>
  <c r="M156" i="2"/>
  <c r="L156" i="2"/>
  <c r="K156" i="2"/>
  <c r="J156" i="2"/>
  <c r="I156" i="2"/>
  <c r="H156" i="2"/>
  <c r="G156" i="2"/>
  <c r="F156" i="2"/>
  <c r="E156" i="2"/>
  <c r="D156" i="2"/>
  <c r="C156" i="2"/>
  <c r="B156" i="2"/>
  <c r="S155" i="2"/>
  <c r="R155" i="2"/>
  <c r="Q155" i="2"/>
  <c r="P155" i="2"/>
  <c r="O155" i="2"/>
  <c r="M155" i="2"/>
  <c r="L155" i="2"/>
  <c r="K155" i="2"/>
  <c r="J155" i="2"/>
  <c r="I155" i="2"/>
  <c r="H155" i="2"/>
  <c r="G155" i="2"/>
  <c r="F155" i="2"/>
  <c r="E155" i="2"/>
  <c r="D155" i="2"/>
  <c r="C155" i="2"/>
  <c r="B155" i="2"/>
  <c r="S154" i="2"/>
  <c r="R154" i="2"/>
  <c r="Q154" i="2"/>
  <c r="P154" i="2"/>
  <c r="O154" i="2"/>
  <c r="M154" i="2"/>
  <c r="L154" i="2"/>
  <c r="K154" i="2"/>
  <c r="J154" i="2"/>
  <c r="I154" i="2"/>
  <c r="H154" i="2"/>
  <c r="G154" i="2"/>
  <c r="F154" i="2"/>
  <c r="E154" i="2"/>
  <c r="D154" i="2"/>
  <c r="C154" i="2"/>
  <c r="B154" i="2"/>
  <c r="S153" i="2"/>
  <c r="R153" i="2"/>
  <c r="Q153" i="2"/>
  <c r="P153" i="2"/>
  <c r="O153" i="2"/>
  <c r="M153" i="2"/>
  <c r="L153" i="2"/>
  <c r="K153" i="2"/>
  <c r="J153" i="2"/>
  <c r="I153" i="2"/>
  <c r="H153" i="2"/>
  <c r="G153" i="2"/>
  <c r="F153" i="2"/>
  <c r="E153" i="2"/>
  <c r="D153" i="2"/>
  <c r="C153" i="2"/>
  <c r="B153" i="2"/>
  <c r="S152" i="2"/>
  <c r="R152" i="2"/>
  <c r="Q152" i="2"/>
  <c r="P152" i="2"/>
  <c r="O152" i="2"/>
  <c r="M152" i="2"/>
  <c r="L152" i="2"/>
  <c r="K152" i="2"/>
  <c r="J152" i="2"/>
  <c r="I152" i="2"/>
  <c r="H152" i="2"/>
  <c r="G152" i="2"/>
  <c r="F152" i="2"/>
  <c r="E152" i="2"/>
  <c r="D152" i="2"/>
  <c r="C152" i="2"/>
  <c r="B152" i="2"/>
  <c r="S151" i="2"/>
  <c r="R151" i="2"/>
  <c r="Q151" i="2"/>
  <c r="P151" i="2"/>
  <c r="O151" i="2"/>
  <c r="M151" i="2"/>
  <c r="L151" i="2"/>
  <c r="K151" i="2"/>
  <c r="J151" i="2"/>
  <c r="I151" i="2"/>
  <c r="H151" i="2"/>
  <c r="G151" i="2"/>
  <c r="F151" i="2"/>
  <c r="E151" i="2"/>
  <c r="D151" i="2"/>
  <c r="C151" i="2"/>
  <c r="B151" i="2"/>
  <c r="S150" i="2"/>
  <c r="R150" i="2"/>
  <c r="Q150" i="2"/>
  <c r="P150" i="2"/>
  <c r="O150" i="2"/>
  <c r="M150" i="2"/>
  <c r="L150" i="2"/>
  <c r="K150" i="2"/>
  <c r="J150" i="2"/>
  <c r="I150" i="2"/>
  <c r="H150" i="2"/>
  <c r="G150" i="2"/>
  <c r="F150" i="2"/>
  <c r="E150" i="2"/>
  <c r="D150" i="2"/>
  <c r="C150" i="2"/>
  <c r="B150" i="2"/>
  <c r="S149" i="2"/>
  <c r="R149" i="2"/>
  <c r="Q149" i="2"/>
  <c r="P149" i="2"/>
  <c r="O149" i="2"/>
  <c r="M149" i="2"/>
  <c r="L149" i="2"/>
  <c r="K149" i="2"/>
  <c r="J149" i="2"/>
  <c r="I149" i="2"/>
  <c r="H149" i="2"/>
  <c r="G149" i="2"/>
  <c r="F149" i="2"/>
  <c r="E149" i="2"/>
  <c r="D149" i="2"/>
  <c r="C149" i="2"/>
  <c r="B149" i="2"/>
  <c r="S148" i="2"/>
  <c r="R148" i="2"/>
  <c r="Q148" i="2"/>
  <c r="P148" i="2"/>
  <c r="O148" i="2"/>
  <c r="M148" i="2"/>
  <c r="L148" i="2"/>
  <c r="K148" i="2"/>
  <c r="J148" i="2"/>
  <c r="I148" i="2"/>
  <c r="H148" i="2"/>
  <c r="G148" i="2"/>
  <c r="F148" i="2"/>
  <c r="E148" i="2"/>
  <c r="D148" i="2"/>
  <c r="C148" i="2"/>
  <c r="B148" i="2"/>
  <c r="S147" i="2"/>
  <c r="R147" i="2"/>
  <c r="Q147" i="2"/>
  <c r="P147" i="2"/>
  <c r="O147" i="2"/>
  <c r="M147" i="2"/>
  <c r="L147" i="2"/>
  <c r="K147" i="2"/>
  <c r="J147" i="2"/>
  <c r="I147" i="2"/>
  <c r="H147" i="2"/>
  <c r="G147" i="2"/>
  <c r="F147" i="2"/>
  <c r="E147" i="2"/>
  <c r="D147" i="2"/>
  <c r="C147" i="2"/>
  <c r="B147" i="2"/>
  <c r="S146" i="2"/>
  <c r="R146" i="2"/>
  <c r="Q146" i="2"/>
  <c r="P146" i="2"/>
  <c r="O146" i="2"/>
  <c r="M146" i="2"/>
  <c r="L146" i="2"/>
  <c r="K146" i="2"/>
  <c r="J146" i="2"/>
  <c r="I146" i="2"/>
  <c r="H146" i="2"/>
  <c r="G146" i="2"/>
  <c r="F146" i="2"/>
  <c r="E146" i="2"/>
  <c r="D146" i="2"/>
  <c r="C146" i="2"/>
  <c r="B146" i="2"/>
  <c r="S145" i="2"/>
  <c r="R145" i="2"/>
  <c r="Q145" i="2"/>
  <c r="P145" i="2"/>
  <c r="O145" i="2"/>
  <c r="M145" i="2"/>
  <c r="L145" i="2"/>
  <c r="K145" i="2"/>
  <c r="J145" i="2"/>
  <c r="I145" i="2"/>
  <c r="H145" i="2"/>
  <c r="G145" i="2"/>
  <c r="F145" i="2"/>
  <c r="E145" i="2"/>
  <c r="D145" i="2"/>
  <c r="C145" i="2"/>
  <c r="B145" i="2"/>
  <c r="S144" i="2"/>
  <c r="R144" i="2"/>
  <c r="Q144" i="2"/>
  <c r="P144" i="2"/>
  <c r="O144" i="2"/>
  <c r="M144" i="2"/>
  <c r="L144" i="2"/>
  <c r="K144" i="2"/>
  <c r="J144" i="2"/>
  <c r="I144" i="2"/>
  <c r="H144" i="2"/>
  <c r="G144" i="2"/>
  <c r="F144" i="2"/>
  <c r="E144" i="2"/>
  <c r="D144" i="2"/>
  <c r="C144" i="2"/>
  <c r="B144" i="2"/>
  <c r="S143" i="2"/>
  <c r="R143" i="2"/>
  <c r="Q143" i="2"/>
  <c r="P143" i="2"/>
  <c r="O143" i="2"/>
  <c r="M143" i="2"/>
  <c r="L143" i="2"/>
  <c r="K143" i="2"/>
  <c r="J143" i="2"/>
  <c r="I143" i="2"/>
  <c r="H143" i="2"/>
  <c r="G143" i="2"/>
  <c r="F143" i="2"/>
  <c r="E143" i="2"/>
  <c r="D143" i="2"/>
  <c r="C143" i="2"/>
  <c r="B143" i="2"/>
  <c r="S142" i="2"/>
  <c r="R142" i="2"/>
  <c r="Q142" i="2"/>
  <c r="P142" i="2"/>
  <c r="O142" i="2"/>
  <c r="M142" i="2"/>
  <c r="L142" i="2"/>
  <c r="K142" i="2"/>
  <c r="J142" i="2"/>
  <c r="I142" i="2"/>
  <c r="H142" i="2"/>
  <c r="G142" i="2"/>
  <c r="F142" i="2"/>
  <c r="E142" i="2"/>
  <c r="D142" i="2"/>
  <c r="C142" i="2"/>
  <c r="B142" i="2"/>
  <c r="S141" i="2"/>
  <c r="R141" i="2"/>
  <c r="Q141" i="2"/>
  <c r="P141" i="2"/>
  <c r="O141" i="2"/>
  <c r="M141" i="2"/>
  <c r="L141" i="2"/>
  <c r="K141" i="2"/>
  <c r="J141" i="2"/>
  <c r="I141" i="2"/>
  <c r="H141" i="2"/>
  <c r="G141" i="2"/>
  <c r="F141" i="2"/>
  <c r="E141" i="2"/>
  <c r="D141" i="2"/>
  <c r="C141" i="2"/>
  <c r="B141" i="2"/>
  <c r="S140" i="2"/>
  <c r="R140" i="2"/>
  <c r="Q140" i="2"/>
  <c r="P140" i="2"/>
  <c r="O140" i="2"/>
  <c r="M140" i="2"/>
  <c r="L140" i="2"/>
  <c r="K140" i="2"/>
  <c r="J140" i="2"/>
  <c r="I140" i="2"/>
  <c r="H140" i="2"/>
  <c r="G140" i="2"/>
  <c r="F140" i="2"/>
  <c r="E140" i="2"/>
  <c r="D140" i="2"/>
  <c r="C140" i="2"/>
  <c r="B140" i="2"/>
  <c r="S139" i="2"/>
  <c r="R139" i="2"/>
  <c r="Q139" i="2"/>
  <c r="P139" i="2"/>
  <c r="O139" i="2"/>
  <c r="M139" i="2"/>
  <c r="L139" i="2"/>
  <c r="K139" i="2"/>
  <c r="J139" i="2"/>
  <c r="I139" i="2"/>
  <c r="H139" i="2"/>
  <c r="G139" i="2"/>
  <c r="F139" i="2"/>
  <c r="E139" i="2"/>
  <c r="D139" i="2"/>
  <c r="C139" i="2"/>
  <c r="B139" i="2"/>
  <c r="S138" i="2"/>
  <c r="R138" i="2"/>
  <c r="Q138" i="2"/>
  <c r="P138" i="2"/>
  <c r="O138" i="2"/>
  <c r="M138" i="2"/>
  <c r="L138" i="2"/>
  <c r="K138" i="2"/>
  <c r="J138" i="2"/>
  <c r="I138" i="2"/>
  <c r="H138" i="2"/>
  <c r="G138" i="2"/>
  <c r="F138" i="2"/>
  <c r="E138" i="2"/>
  <c r="D138" i="2"/>
  <c r="C138" i="2"/>
  <c r="B138" i="2"/>
  <c r="S137" i="2"/>
  <c r="R137" i="2"/>
  <c r="Q137" i="2"/>
  <c r="P137" i="2"/>
  <c r="O137" i="2"/>
  <c r="M137" i="2"/>
  <c r="L137" i="2"/>
  <c r="K137" i="2"/>
  <c r="J137" i="2"/>
  <c r="I137" i="2"/>
  <c r="H137" i="2"/>
  <c r="G137" i="2"/>
  <c r="F137" i="2"/>
  <c r="E137" i="2"/>
  <c r="D137" i="2"/>
  <c r="C137" i="2"/>
  <c r="B137" i="2"/>
  <c r="S136" i="2"/>
  <c r="R136" i="2"/>
  <c r="Q136" i="2"/>
  <c r="P136" i="2"/>
  <c r="O136" i="2"/>
  <c r="M136" i="2"/>
  <c r="L136" i="2"/>
  <c r="K136" i="2"/>
  <c r="J136" i="2"/>
  <c r="I136" i="2"/>
  <c r="H136" i="2"/>
  <c r="G136" i="2"/>
  <c r="F136" i="2"/>
  <c r="E136" i="2"/>
  <c r="D136" i="2"/>
  <c r="C136" i="2"/>
  <c r="B136" i="2"/>
  <c r="S135" i="2"/>
  <c r="R135" i="2"/>
  <c r="Q135" i="2"/>
  <c r="P135" i="2"/>
  <c r="O135" i="2"/>
  <c r="M135" i="2"/>
  <c r="L135" i="2"/>
  <c r="K135" i="2"/>
  <c r="J135" i="2"/>
  <c r="I135" i="2"/>
  <c r="H135" i="2"/>
  <c r="G135" i="2"/>
  <c r="F135" i="2"/>
  <c r="E135" i="2"/>
  <c r="D135" i="2"/>
  <c r="C135" i="2"/>
  <c r="B135" i="2"/>
  <c r="S134" i="2"/>
  <c r="R134" i="2"/>
  <c r="Q134" i="2"/>
  <c r="P134" i="2"/>
  <c r="O134" i="2"/>
  <c r="M134" i="2"/>
  <c r="L134" i="2"/>
  <c r="K134" i="2"/>
  <c r="J134" i="2"/>
  <c r="I134" i="2"/>
  <c r="H134" i="2"/>
  <c r="G134" i="2"/>
  <c r="F134" i="2"/>
  <c r="E134" i="2"/>
  <c r="D134" i="2"/>
  <c r="C134" i="2"/>
  <c r="B134" i="2"/>
  <c r="S133" i="2"/>
  <c r="R133" i="2"/>
  <c r="Q133" i="2"/>
  <c r="P133" i="2"/>
  <c r="O133" i="2"/>
  <c r="M133" i="2"/>
  <c r="L133" i="2"/>
  <c r="K133" i="2"/>
  <c r="J133" i="2"/>
  <c r="I133" i="2"/>
  <c r="H133" i="2"/>
  <c r="G133" i="2"/>
  <c r="F133" i="2"/>
  <c r="E133" i="2"/>
  <c r="D133" i="2"/>
  <c r="C133" i="2"/>
  <c r="B133" i="2"/>
  <c r="S132" i="2"/>
  <c r="R132" i="2"/>
  <c r="Q132" i="2"/>
  <c r="P132" i="2"/>
  <c r="O132" i="2"/>
  <c r="M132" i="2"/>
  <c r="L132" i="2"/>
  <c r="K132" i="2"/>
  <c r="J132" i="2"/>
  <c r="I132" i="2"/>
  <c r="H132" i="2"/>
  <c r="G132" i="2"/>
  <c r="F132" i="2"/>
  <c r="E132" i="2"/>
  <c r="D132" i="2"/>
  <c r="C132" i="2"/>
  <c r="B132" i="2"/>
  <c r="S131" i="2"/>
  <c r="R131" i="2"/>
  <c r="Q131" i="2"/>
  <c r="P131" i="2"/>
  <c r="O131" i="2"/>
  <c r="M131" i="2"/>
  <c r="L131" i="2"/>
  <c r="K131" i="2"/>
  <c r="J131" i="2"/>
  <c r="I131" i="2"/>
  <c r="H131" i="2"/>
  <c r="G131" i="2"/>
  <c r="F131" i="2"/>
  <c r="E131" i="2"/>
  <c r="D131" i="2"/>
  <c r="C131" i="2"/>
  <c r="B131" i="2"/>
  <c r="S130" i="2"/>
  <c r="R130" i="2"/>
  <c r="Q130" i="2"/>
  <c r="P130" i="2"/>
  <c r="O130" i="2"/>
  <c r="M130" i="2"/>
  <c r="L130" i="2"/>
  <c r="K130" i="2"/>
  <c r="J130" i="2"/>
  <c r="I130" i="2"/>
  <c r="H130" i="2"/>
  <c r="G130" i="2"/>
  <c r="F130" i="2"/>
  <c r="E130" i="2"/>
  <c r="D130" i="2"/>
  <c r="C130" i="2"/>
  <c r="B130" i="2"/>
  <c r="S129" i="2"/>
  <c r="R129" i="2"/>
  <c r="Q129" i="2"/>
  <c r="P129" i="2"/>
  <c r="O129" i="2"/>
  <c r="M129" i="2"/>
  <c r="L129" i="2"/>
  <c r="K129" i="2"/>
  <c r="J129" i="2"/>
  <c r="I129" i="2"/>
  <c r="H129" i="2"/>
  <c r="G129" i="2"/>
  <c r="F129" i="2"/>
  <c r="E129" i="2"/>
  <c r="D129" i="2"/>
  <c r="C129" i="2"/>
  <c r="B129" i="2"/>
  <c r="S128" i="2"/>
  <c r="R128" i="2"/>
  <c r="Q128" i="2"/>
  <c r="P128" i="2"/>
  <c r="O128" i="2"/>
  <c r="M128" i="2"/>
  <c r="L128" i="2"/>
  <c r="K128" i="2"/>
  <c r="J128" i="2"/>
  <c r="I128" i="2"/>
  <c r="H128" i="2"/>
  <c r="G128" i="2"/>
  <c r="F128" i="2"/>
  <c r="E128" i="2"/>
  <c r="D128" i="2"/>
  <c r="C128" i="2"/>
  <c r="B128" i="2"/>
  <c r="S127" i="2"/>
  <c r="R127" i="2"/>
  <c r="Q127" i="2"/>
  <c r="P127" i="2"/>
  <c r="O127" i="2"/>
  <c r="M127" i="2"/>
  <c r="L127" i="2"/>
  <c r="K127" i="2"/>
  <c r="J127" i="2"/>
  <c r="I127" i="2"/>
  <c r="H127" i="2"/>
  <c r="G127" i="2"/>
  <c r="F127" i="2"/>
  <c r="E127" i="2"/>
  <c r="D127" i="2"/>
  <c r="C127" i="2"/>
  <c r="B127" i="2"/>
  <c r="S126" i="2"/>
  <c r="R126" i="2"/>
  <c r="Q126" i="2"/>
  <c r="P126" i="2"/>
  <c r="O126" i="2"/>
  <c r="M126" i="2"/>
  <c r="L126" i="2"/>
  <c r="K126" i="2"/>
  <c r="J126" i="2"/>
  <c r="I126" i="2"/>
  <c r="H126" i="2"/>
  <c r="G126" i="2"/>
  <c r="F126" i="2"/>
  <c r="E126" i="2"/>
  <c r="D126" i="2"/>
  <c r="C126" i="2"/>
  <c r="B126" i="2"/>
  <c r="S125" i="2"/>
  <c r="R125" i="2"/>
  <c r="Q125" i="2"/>
  <c r="P125" i="2"/>
  <c r="O125" i="2"/>
  <c r="M125" i="2"/>
  <c r="L125" i="2"/>
  <c r="K125" i="2"/>
  <c r="J125" i="2"/>
  <c r="I125" i="2"/>
  <c r="H125" i="2"/>
  <c r="G125" i="2"/>
  <c r="F125" i="2"/>
  <c r="E125" i="2"/>
  <c r="D125" i="2"/>
  <c r="C125" i="2"/>
  <c r="B125" i="2"/>
  <c r="S124" i="2"/>
  <c r="R124" i="2"/>
  <c r="Q124" i="2"/>
  <c r="P124" i="2"/>
  <c r="O124" i="2"/>
  <c r="M124" i="2"/>
  <c r="L124" i="2"/>
  <c r="K124" i="2"/>
  <c r="J124" i="2"/>
  <c r="I124" i="2"/>
  <c r="H124" i="2"/>
  <c r="G124" i="2"/>
  <c r="F124" i="2"/>
  <c r="E124" i="2"/>
  <c r="D124" i="2"/>
  <c r="C124" i="2"/>
  <c r="B124" i="2"/>
  <c r="S123" i="2"/>
  <c r="R123" i="2"/>
  <c r="Q123" i="2"/>
  <c r="P123" i="2"/>
  <c r="O123" i="2"/>
  <c r="M123" i="2"/>
  <c r="L123" i="2"/>
  <c r="K123" i="2"/>
  <c r="J123" i="2"/>
  <c r="I123" i="2"/>
  <c r="H123" i="2"/>
  <c r="G123" i="2"/>
  <c r="F123" i="2"/>
  <c r="E123" i="2"/>
  <c r="D123" i="2"/>
  <c r="C123" i="2"/>
  <c r="B123" i="2"/>
  <c r="S122" i="2"/>
  <c r="R122" i="2"/>
  <c r="Q122" i="2"/>
  <c r="P122" i="2"/>
  <c r="O122" i="2"/>
  <c r="M122" i="2"/>
  <c r="L122" i="2"/>
  <c r="K122" i="2"/>
  <c r="J122" i="2"/>
  <c r="I122" i="2"/>
  <c r="H122" i="2"/>
  <c r="G122" i="2"/>
  <c r="F122" i="2"/>
  <c r="E122" i="2"/>
  <c r="D122" i="2"/>
  <c r="C122" i="2"/>
  <c r="B122" i="2"/>
  <c r="S121" i="2"/>
  <c r="R121" i="2"/>
  <c r="Q121" i="2"/>
  <c r="P121" i="2"/>
  <c r="O121" i="2"/>
  <c r="M121" i="2"/>
  <c r="L121" i="2"/>
  <c r="K121" i="2"/>
  <c r="J121" i="2"/>
  <c r="I121" i="2"/>
  <c r="H121" i="2"/>
  <c r="G121" i="2"/>
  <c r="F121" i="2"/>
  <c r="E121" i="2"/>
  <c r="D121" i="2"/>
  <c r="C121" i="2"/>
  <c r="B121" i="2"/>
  <c r="S120" i="2"/>
  <c r="R120" i="2"/>
  <c r="Q120" i="2"/>
  <c r="P120" i="2"/>
  <c r="O120" i="2"/>
  <c r="M120" i="2"/>
  <c r="L120" i="2"/>
  <c r="K120" i="2"/>
  <c r="J120" i="2"/>
  <c r="I120" i="2"/>
  <c r="H120" i="2"/>
  <c r="G120" i="2"/>
  <c r="F120" i="2"/>
  <c r="E120" i="2"/>
  <c r="D120" i="2"/>
  <c r="C120" i="2"/>
  <c r="B120" i="2"/>
  <c r="S119" i="2"/>
  <c r="R119" i="2"/>
  <c r="Q119" i="2"/>
  <c r="P119" i="2"/>
  <c r="O119" i="2"/>
  <c r="M119" i="2"/>
  <c r="L119" i="2"/>
  <c r="K119" i="2"/>
  <c r="J119" i="2"/>
  <c r="I119" i="2"/>
  <c r="H119" i="2"/>
  <c r="G119" i="2"/>
  <c r="F119" i="2"/>
  <c r="E119" i="2"/>
  <c r="D119" i="2"/>
  <c r="C119" i="2"/>
  <c r="B119" i="2"/>
  <c r="S118" i="2"/>
  <c r="R118" i="2"/>
  <c r="Q118" i="2"/>
  <c r="P118" i="2"/>
  <c r="O118" i="2"/>
  <c r="M118" i="2"/>
  <c r="L118" i="2"/>
  <c r="K118" i="2"/>
  <c r="J118" i="2"/>
  <c r="I118" i="2"/>
  <c r="H118" i="2"/>
  <c r="G118" i="2"/>
  <c r="F118" i="2"/>
  <c r="E118" i="2"/>
  <c r="D118" i="2"/>
  <c r="C118" i="2"/>
  <c r="B118" i="2"/>
  <c r="S117" i="2"/>
  <c r="R117" i="2"/>
  <c r="Q117" i="2"/>
  <c r="P117" i="2"/>
  <c r="O117" i="2"/>
  <c r="M117" i="2"/>
  <c r="L117" i="2"/>
  <c r="K117" i="2"/>
  <c r="J117" i="2"/>
  <c r="I117" i="2"/>
  <c r="H117" i="2"/>
  <c r="G117" i="2"/>
  <c r="F117" i="2"/>
  <c r="E117" i="2"/>
  <c r="D117" i="2"/>
  <c r="C117" i="2"/>
  <c r="B117" i="2"/>
  <c r="S116" i="2"/>
  <c r="R116" i="2"/>
  <c r="Q116" i="2"/>
  <c r="P116" i="2"/>
  <c r="O116" i="2"/>
  <c r="M116" i="2"/>
  <c r="L116" i="2"/>
  <c r="K116" i="2"/>
  <c r="J116" i="2"/>
  <c r="I116" i="2"/>
  <c r="H116" i="2"/>
  <c r="G116" i="2"/>
  <c r="F116" i="2"/>
  <c r="E116" i="2"/>
  <c r="D116" i="2"/>
  <c r="C116" i="2"/>
  <c r="B116" i="2"/>
  <c r="S115" i="2"/>
  <c r="R115" i="2"/>
  <c r="Q115" i="2"/>
  <c r="P115" i="2"/>
  <c r="O115" i="2"/>
  <c r="M115" i="2"/>
  <c r="L115" i="2"/>
  <c r="K115" i="2"/>
  <c r="J115" i="2"/>
  <c r="I115" i="2"/>
  <c r="H115" i="2"/>
  <c r="G115" i="2"/>
  <c r="F115" i="2"/>
  <c r="E115" i="2"/>
  <c r="D115" i="2"/>
  <c r="C115" i="2"/>
  <c r="B115" i="2"/>
  <c r="S114" i="2"/>
  <c r="R114" i="2"/>
  <c r="Q114" i="2"/>
  <c r="P114" i="2"/>
  <c r="O114" i="2"/>
  <c r="M114" i="2"/>
  <c r="L114" i="2"/>
  <c r="K114" i="2"/>
  <c r="J114" i="2"/>
  <c r="I114" i="2"/>
  <c r="H114" i="2"/>
  <c r="G114" i="2"/>
  <c r="F114" i="2"/>
  <c r="E114" i="2"/>
  <c r="D114" i="2"/>
  <c r="C114" i="2"/>
  <c r="B114" i="2"/>
  <c r="S113" i="2"/>
  <c r="R113" i="2"/>
  <c r="Q113" i="2"/>
  <c r="P113" i="2"/>
  <c r="O113" i="2"/>
  <c r="M113" i="2"/>
  <c r="L113" i="2"/>
  <c r="K113" i="2"/>
  <c r="J113" i="2"/>
  <c r="I113" i="2"/>
  <c r="H113" i="2"/>
  <c r="G113" i="2"/>
  <c r="F113" i="2"/>
  <c r="E113" i="2"/>
  <c r="D113" i="2"/>
  <c r="C113" i="2"/>
  <c r="B113" i="2"/>
  <c r="S112" i="2"/>
  <c r="R112" i="2"/>
  <c r="Q112" i="2"/>
  <c r="P112" i="2"/>
  <c r="O112" i="2"/>
  <c r="M112" i="2"/>
  <c r="L112" i="2"/>
  <c r="K112" i="2"/>
  <c r="J112" i="2"/>
  <c r="I112" i="2"/>
  <c r="H112" i="2"/>
  <c r="G112" i="2"/>
  <c r="F112" i="2"/>
  <c r="E112" i="2"/>
  <c r="D112" i="2"/>
  <c r="C112" i="2"/>
  <c r="B112" i="2"/>
  <c r="S111" i="2"/>
  <c r="R111" i="2"/>
  <c r="Q111" i="2"/>
  <c r="P111" i="2"/>
  <c r="O111" i="2"/>
  <c r="M111" i="2"/>
  <c r="L111" i="2"/>
  <c r="K111" i="2"/>
  <c r="J111" i="2"/>
  <c r="I111" i="2"/>
  <c r="H111" i="2"/>
  <c r="G111" i="2"/>
  <c r="F111" i="2"/>
  <c r="E111" i="2"/>
  <c r="D111" i="2"/>
  <c r="C111" i="2"/>
  <c r="B111" i="2"/>
  <c r="S110" i="2"/>
  <c r="R110" i="2"/>
  <c r="Q110" i="2"/>
  <c r="P110" i="2"/>
  <c r="O110" i="2"/>
  <c r="M110" i="2"/>
  <c r="L110" i="2"/>
  <c r="K110" i="2"/>
  <c r="J110" i="2"/>
  <c r="I110" i="2"/>
  <c r="H110" i="2"/>
  <c r="G110" i="2"/>
  <c r="F110" i="2"/>
  <c r="E110" i="2"/>
  <c r="D110" i="2"/>
  <c r="C110" i="2"/>
  <c r="B110" i="2"/>
  <c r="S109" i="2"/>
  <c r="R109" i="2"/>
  <c r="Q109" i="2"/>
  <c r="P109" i="2"/>
  <c r="O109" i="2"/>
  <c r="M109" i="2"/>
  <c r="L109" i="2"/>
  <c r="K109" i="2"/>
  <c r="J109" i="2"/>
  <c r="I109" i="2"/>
  <c r="H109" i="2"/>
  <c r="G109" i="2"/>
  <c r="F109" i="2"/>
  <c r="E109" i="2"/>
  <c r="D109" i="2"/>
  <c r="C109" i="2"/>
  <c r="B109" i="2"/>
  <c r="S108" i="2"/>
  <c r="R108" i="2"/>
  <c r="Q108" i="2"/>
  <c r="P108" i="2"/>
  <c r="O108" i="2"/>
  <c r="M108" i="2"/>
  <c r="L108" i="2"/>
  <c r="K108" i="2"/>
  <c r="J108" i="2"/>
  <c r="I108" i="2"/>
  <c r="H108" i="2"/>
  <c r="G108" i="2"/>
  <c r="F108" i="2"/>
  <c r="E108" i="2"/>
  <c r="D108" i="2"/>
  <c r="C108" i="2"/>
  <c r="B108" i="2"/>
  <c r="S107" i="2"/>
  <c r="R107" i="2"/>
  <c r="Q107" i="2"/>
  <c r="P107" i="2"/>
  <c r="O107" i="2"/>
  <c r="M107" i="2"/>
  <c r="L107" i="2"/>
  <c r="K107" i="2"/>
  <c r="J107" i="2"/>
  <c r="I107" i="2"/>
  <c r="H107" i="2"/>
  <c r="G107" i="2"/>
  <c r="F107" i="2"/>
  <c r="E107" i="2"/>
  <c r="D107" i="2"/>
  <c r="C107" i="2"/>
  <c r="B107" i="2"/>
  <c r="S106" i="2"/>
  <c r="R106" i="2"/>
  <c r="Q106" i="2"/>
  <c r="P106" i="2"/>
  <c r="O106" i="2"/>
  <c r="M106" i="2"/>
  <c r="L106" i="2"/>
  <c r="K106" i="2"/>
  <c r="J106" i="2"/>
  <c r="I106" i="2"/>
  <c r="H106" i="2"/>
  <c r="G106" i="2"/>
  <c r="F106" i="2"/>
  <c r="E106" i="2"/>
  <c r="D106" i="2"/>
  <c r="C106" i="2"/>
  <c r="B106" i="2"/>
  <c r="S105" i="2"/>
  <c r="R105" i="2"/>
  <c r="Q105" i="2"/>
  <c r="P105" i="2"/>
  <c r="O105" i="2"/>
  <c r="M105" i="2"/>
  <c r="L105" i="2"/>
  <c r="K105" i="2"/>
  <c r="J105" i="2"/>
  <c r="I105" i="2"/>
  <c r="H105" i="2"/>
  <c r="G105" i="2"/>
  <c r="F105" i="2"/>
  <c r="E105" i="2"/>
  <c r="D105" i="2"/>
  <c r="C105" i="2"/>
  <c r="B105" i="2"/>
  <c r="S104" i="2"/>
  <c r="R104" i="2"/>
  <c r="Q104" i="2"/>
  <c r="P104" i="2"/>
  <c r="O104" i="2"/>
  <c r="M104" i="2"/>
  <c r="L104" i="2"/>
  <c r="K104" i="2"/>
  <c r="J104" i="2"/>
  <c r="I104" i="2"/>
  <c r="H104" i="2"/>
  <c r="G104" i="2"/>
  <c r="F104" i="2"/>
  <c r="E104" i="2"/>
  <c r="D104" i="2"/>
  <c r="C104" i="2"/>
  <c r="B104" i="2"/>
  <c r="S103" i="2"/>
  <c r="R103" i="2"/>
  <c r="Q103" i="2"/>
  <c r="P103" i="2"/>
  <c r="O103" i="2"/>
  <c r="M103" i="2"/>
  <c r="L103" i="2"/>
  <c r="K103" i="2"/>
  <c r="J103" i="2"/>
  <c r="I103" i="2"/>
  <c r="H103" i="2"/>
  <c r="G103" i="2"/>
  <c r="F103" i="2"/>
  <c r="E103" i="2"/>
  <c r="D103" i="2"/>
  <c r="C103" i="2"/>
  <c r="B103" i="2"/>
  <c r="S102" i="2"/>
  <c r="R102" i="2"/>
  <c r="Q102" i="2"/>
  <c r="P102" i="2"/>
  <c r="O102" i="2"/>
  <c r="M102" i="2"/>
  <c r="L102" i="2"/>
  <c r="K102" i="2"/>
  <c r="J102" i="2"/>
  <c r="I102" i="2"/>
  <c r="H102" i="2"/>
  <c r="G102" i="2"/>
  <c r="F102" i="2"/>
  <c r="E102" i="2"/>
  <c r="D102" i="2"/>
  <c r="C102" i="2"/>
  <c r="B102" i="2"/>
  <c r="S101" i="2"/>
  <c r="R101" i="2"/>
  <c r="Q101" i="2"/>
  <c r="P101" i="2"/>
  <c r="O101" i="2"/>
  <c r="M101" i="2"/>
  <c r="L101" i="2"/>
  <c r="K101" i="2"/>
  <c r="J101" i="2"/>
  <c r="I101" i="2"/>
  <c r="H101" i="2"/>
  <c r="G101" i="2"/>
  <c r="F101" i="2"/>
  <c r="E101" i="2"/>
  <c r="D101" i="2"/>
  <c r="C101" i="2"/>
  <c r="B101" i="2"/>
  <c r="S100" i="2"/>
  <c r="R100" i="2"/>
  <c r="Q100" i="2"/>
  <c r="P100" i="2"/>
  <c r="O100" i="2"/>
  <c r="M100" i="2"/>
  <c r="L100" i="2"/>
  <c r="K100" i="2"/>
  <c r="J100" i="2"/>
  <c r="I100" i="2"/>
  <c r="H100" i="2"/>
  <c r="G100" i="2"/>
  <c r="F100" i="2"/>
  <c r="E100" i="2"/>
  <c r="D100" i="2"/>
  <c r="C100" i="2"/>
  <c r="B100" i="2"/>
  <c r="S99" i="2"/>
  <c r="R99" i="2"/>
  <c r="Q99" i="2"/>
  <c r="P99" i="2"/>
  <c r="O99" i="2"/>
  <c r="M99" i="2"/>
  <c r="L99" i="2"/>
  <c r="K99" i="2"/>
  <c r="J99" i="2"/>
  <c r="I99" i="2"/>
  <c r="H99" i="2"/>
  <c r="G99" i="2"/>
  <c r="F99" i="2"/>
  <c r="E99" i="2"/>
  <c r="D99" i="2"/>
  <c r="C99" i="2"/>
  <c r="B99" i="2"/>
  <c r="S98" i="2"/>
  <c r="R98" i="2"/>
  <c r="Q98" i="2"/>
  <c r="P98" i="2"/>
  <c r="O98" i="2"/>
  <c r="M98" i="2"/>
  <c r="L98" i="2"/>
  <c r="K98" i="2"/>
  <c r="J98" i="2"/>
  <c r="I98" i="2"/>
  <c r="H98" i="2"/>
  <c r="G98" i="2"/>
  <c r="F98" i="2"/>
  <c r="E98" i="2"/>
  <c r="D98" i="2"/>
  <c r="C98" i="2"/>
  <c r="B98" i="2"/>
  <c r="S97" i="2"/>
  <c r="R97" i="2"/>
  <c r="Q97" i="2"/>
  <c r="P97" i="2"/>
  <c r="O97" i="2"/>
  <c r="M97" i="2"/>
  <c r="L97" i="2"/>
  <c r="K97" i="2"/>
  <c r="J97" i="2"/>
  <c r="I97" i="2"/>
  <c r="H97" i="2"/>
  <c r="G97" i="2"/>
  <c r="F97" i="2"/>
  <c r="E97" i="2"/>
  <c r="D97" i="2"/>
  <c r="C97" i="2"/>
  <c r="B97" i="2"/>
  <c r="S96" i="2"/>
  <c r="R96" i="2"/>
  <c r="Q96" i="2"/>
  <c r="P96" i="2"/>
  <c r="O96" i="2"/>
  <c r="M96" i="2"/>
  <c r="L96" i="2"/>
  <c r="K96" i="2"/>
  <c r="J96" i="2"/>
  <c r="I96" i="2"/>
  <c r="H96" i="2"/>
  <c r="G96" i="2"/>
  <c r="F96" i="2"/>
  <c r="E96" i="2"/>
  <c r="D96" i="2"/>
  <c r="C96" i="2"/>
  <c r="B96" i="2"/>
  <c r="S95" i="2"/>
  <c r="R95" i="2"/>
  <c r="Q95" i="2"/>
  <c r="P95" i="2"/>
  <c r="O95" i="2"/>
  <c r="M95" i="2"/>
  <c r="L95" i="2"/>
  <c r="K95" i="2"/>
  <c r="J95" i="2"/>
  <c r="I95" i="2"/>
  <c r="H95" i="2"/>
  <c r="G95" i="2"/>
  <c r="F95" i="2"/>
  <c r="E95" i="2"/>
  <c r="D95" i="2"/>
  <c r="C95" i="2"/>
  <c r="B95" i="2"/>
  <c r="S94" i="2"/>
  <c r="R94" i="2"/>
  <c r="Q94" i="2"/>
  <c r="P94" i="2"/>
  <c r="O94" i="2"/>
  <c r="M94" i="2"/>
  <c r="L94" i="2"/>
  <c r="K94" i="2"/>
  <c r="J94" i="2"/>
  <c r="I94" i="2"/>
  <c r="H94" i="2"/>
  <c r="G94" i="2"/>
  <c r="F94" i="2"/>
  <c r="E94" i="2"/>
  <c r="D94" i="2"/>
  <c r="C94" i="2"/>
  <c r="B94" i="2"/>
  <c r="S93" i="2"/>
  <c r="R93" i="2"/>
  <c r="Q93" i="2"/>
  <c r="P93" i="2"/>
  <c r="O93" i="2"/>
  <c r="M93" i="2"/>
  <c r="L93" i="2"/>
  <c r="K93" i="2"/>
  <c r="J93" i="2"/>
  <c r="I93" i="2"/>
  <c r="H93" i="2"/>
  <c r="G93" i="2"/>
  <c r="F93" i="2"/>
  <c r="E93" i="2"/>
  <c r="D93" i="2"/>
  <c r="C93" i="2"/>
  <c r="B93" i="2"/>
  <c r="S92" i="2"/>
  <c r="R92" i="2"/>
  <c r="Q92" i="2"/>
  <c r="P92" i="2"/>
  <c r="O92" i="2"/>
  <c r="M92" i="2"/>
  <c r="L92" i="2"/>
  <c r="K92" i="2"/>
  <c r="J92" i="2"/>
  <c r="I92" i="2"/>
  <c r="H92" i="2"/>
  <c r="G92" i="2"/>
  <c r="F92" i="2"/>
  <c r="E92" i="2"/>
  <c r="D92" i="2"/>
  <c r="C92" i="2"/>
  <c r="B92" i="2"/>
  <c r="S91" i="2"/>
  <c r="R91" i="2"/>
  <c r="Q91" i="2"/>
  <c r="P91" i="2"/>
  <c r="O91" i="2"/>
  <c r="M91" i="2"/>
  <c r="L91" i="2"/>
  <c r="K91" i="2"/>
  <c r="J91" i="2"/>
  <c r="I91" i="2"/>
  <c r="H91" i="2"/>
  <c r="G91" i="2"/>
  <c r="F91" i="2"/>
  <c r="E91" i="2"/>
  <c r="D91" i="2"/>
  <c r="C91" i="2"/>
  <c r="B91" i="2"/>
  <c r="S90" i="2"/>
  <c r="R90" i="2"/>
  <c r="Q90" i="2"/>
  <c r="P90" i="2"/>
  <c r="O90" i="2"/>
  <c r="M90" i="2"/>
  <c r="L90" i="2"/>
  <c r="K90" i="2"/>
  <c r="J90" i="2"/>
  <c r="I90" i="2"/>
  <c r="H90" i="2"/>
  <c r="G90" i="2"/>
  <c r="F90" i="2"/>
  <c r="E90" i="2"/>
  <c r="D90" i="2"/>
  <c r="C90" i="2"/>
  <c r="B90" i="2"/>
  <c r="S89" i="2"/>
  <c r="R89" i="2"/>
  <c r="Q89" i="2"/>
  <c r="P89" i="2"/>
  <c r="O89" i="2"/>
  <c r="M89" i="2"/>
  <c r="L89" i="2"/>
  <c r="K89" i="2"/>
  <c r="J89" i="2"/>
  <c r="I89" i="2"/>
  <c r="H89" i="2"/>
  <c r="G89" i="2"/>
  <c r="F89" i="2"/>
  <c r="E89" i="2"/>
  <c r="D89" i="2"/>
  <c r="C89" i="2"/>
  <c r="B89" i="2"/>
  <c r="S88" i="2"/>
  <c r="R88" i="2"/>
  <c r="Q88" i="2"/>
  <c r="P88" i="2"/>
  <c r="O88" i="2"/>
  <c r="M88" i="2"/>
  <c r="L88" i="2"/>
  <c r="K88" i="2"/>
  <c r="J88" i="2"/>
  <c r="I88" i="2"/>
  <c r="H88" i="2"/>
  <c r="G88" i="2"/>
  <c r="F88" i="2"/>
  <c r="E88" i="2"/>
  <c r="D88" i="2"/>
  <c r="C88" i="2"/>
  <c r="B88" i="2"/>
  <c r="S87" i="2"/>
  <c r="R87" i="2"/>
  <c r="Q87" i="2"/>
  <c r="P87" i="2"/>
  <c r="O87" i="2"/>
  <c r="M87" i="2"/>
  <c r="L87" i="2"/>
  <c r="K87" i="2"/>
  <c r="J87" i="2"/>
  <c r="I87" i="2"/>
  <c r="H87" i="2"/>
  <c r="G87" i="2"/>
  <c r="F87" i="2"/>
  <c r="E87" i="2"/>
  <c r="D87" i="2"/>
  <c r="C87" i="2"/>
  <c r="B87" i="2"/>
  <c r="S86" i="2"/>
  <c r="R86" i="2"/>
  <c r="Q86" i="2"/>
  <c r="P86" i="2"/>
  <c r="O86" i="2"/>
  <c r="M86" i="2"/>
  <c r="L86" i="2"/>
  <c r="K86" i="2"/>
  <c r="J86" i="2"/>
  <c r="I86" i="2"/>
  <c r="H86" i="2"/>
  <c r="G86" i="2"/>
  <c r="F86" i="2"/>
  <c r="E86" i="2"/>
  <c r="D86" i="2"/>
  <c r="C86" i="2"/>
  <c r="B86" i="2"/>
  <c r="S85" i="2"/>
  <c r="R85" i="2"/>
  <c r="Q85" i="2"/>
  <c r="P85" i="2"/>
  <c r="O85" i="2"/>
  <c r="M85" i="2"/>
  <c r="L85" i="2"/>
  <c r="K85" i="2"/>
  <c r="J85" i="2"/>
  <c r="I85" i="2"/>
  <c r="H85" i="2"/>
  <c r="G85" i="2"/>
  <c r="F85" i="2"/>
  <c r="E85" i="2"/>
  <c r="D85" i="2"/>
  <c r="C85" i="2"/>
  <c r="B85" i="2"/>
  <c r="S84" i="2"/>
  <c r="R84" i="2"/>
  <c r="Q84" i="2"/>
  <c r="P84" i="2"/>
  <c r="O84" i="2"/>
  <c r="M84" i="2"/>
  <c r="L84" i="2"/>
  <c r="K84" i="2"/>
  <c r="J84" i="2"/>
  <c r="I84" i="2"/>
  <c r="H84" i="2"/>
  <c r="G84" i="2"/>
  <c r="F84" i="2"/>
  <c r="E84" i="2"/>
  <c r="D84" i="2"/>
  <c r="C84" i="2"/>
  <c r="B84" i="2"/>
  <c r="S83" i="2"/>
  <c r="R83" i="2"/>
  <c r="Q83" i="2"/>
  <c r="P83" i="2"/>
  <c r="O83" i="2"/>
  <c r="M83" i="2"/>
  <c r="L83" i="2"/>
  <c r="K83" i="2"/>
  <c r="J83" i="2"/>
  <c r="I83" i="2"/>
  <c r="H83" i="2"/>
  <c r="G83" i="2"/>
  <c r="F83" i="2"/>
  <c r="E83" i="2"/>
  <c r="D83" i="2"/>
  <c r="C83" i="2"/>
  <c r="B83" i="2"/>
  <c r="S82" i="2"/>
  <c r="R82" i="2"/>
  <c r="Q82" i="2"/>
  <c r="P82" i="2"/>
  <c r="O82" i="2"/>
  <c r="M82" i="2"/>
  <c r="L82" i="2"/>
  <c r="K82" i="2"/>
  <c r="J82" i="2"/>
  <c r="I82" i="2"/>
  <c r="H82" i="2"/>
  <c r="G82" i="2"/>
  <c r="F82" i="2"/>
  <c r="E82" i="2"/>
  <c r="D82" i="2"/>
  <c r="C82" i="2"/>
  <c r="B82" i="2"/>
  <c r="S81" i="2"/>
  <c r="R81" i="2"/>
  <c r="Q81" i="2"/>
  <c r="P81" i="2"/>
  <c r="O81" i="2"/>
  <c r="M81" i="2"/>
  <c r="L81" i="2"/>
  <c r="K81" i="2"/>
  <c r="J81" i="2"/>
  <c r="I81" i="2"/>
  <c r="H81" i="2"/>
  <c r="G81" i="2"/>
  <c r="F81" i="2"/>
  <c r="E81" i="2"/>
  <c r="D81" i="2"/>
  <c r="C81" i="2"/>
  <c r="B81" i="2"/>
  <c r="S80" i="2"/>
  <c r="R80" i="2"/>
  <c r="Q80" i="2"/>
  <c r="P80" i="2"/>
  <c r="O80" i="2"/>
  <c r="M80" i="2"/>
  <c r="L80" i="2"/>
  <c r="K80" i="2"/>
  <c r="J80" i="2"/>
  <c r="I80" i="2"/>
  <c r="H80" i="2"/>
  <c r="G80" i="2"/>
  <c r="F80" i="2"/>
  <c r="E80" i="2"/>
  <c r="D80" i="2"/>
  <c r="C80" i="2"/>
  <c r="B80" i="2"/>
  <c r="S79" i="2"/>
  <c r="R79" i="2"/>
  <c r="Q79" i="2"/>
  <c r="P79" i="2"/>
  <c r="O79" i="2"/>
  <c r="M79" i="2"/>
  <c r="L79" i="2"/>
  <c r="K79" i="2"/>
  <c r="J79" i="2"/>
  <c r="I79" i="2"/>
  <c r="H79" i="2"/>
  <c r="G79" i="2"/>
  <c r="F79" i="2"/>
  <c r="E79" i="2"/>
  <c r="D79" i="2"/>
  <c r="C79" i="2"/>
  <c r="B79" i="2"/>
  <c r="S78" i="2"/>
  <c r="R78" i="2"/>
  <c r="Q78" i="2"/>
  <c r="P78" i="2"/>
  <c r="O78" i="2"/>
  <c r="M78" i="2"/>
  <c r="L78" i="2"/>
  <c r="K78" i="2"/>
  <c r="J78" i="2"/>
  <c r="I78" i="2"/>
  <c r="H78" i="2"/>
  <c r="G78" i="2"/>
  <c r="F78" i="2"/>
  <c r="E78" i="2"/>
  <c r="D78" i="2"/>
  <c r="C78" i="2"/>
  <c r="B78" i="2"/>
  <c r="S77" i="2"/>
  <c r="R77" i="2"/>
  <c r="Q77" i="2"/>
  <c r="P77" i="2"/>
  <c r="O77" i="2"/>
  <c r="M77" i="2"/>
  <c r="L77" i="2"/>
  <c r="K77" i="2"/>
  <c r="J77" i="2"/>
  <c r="I77" i="2"/>
  <c r="H77" i="2"/>
  <c r="G77" i="2"/>
  <c r="F77" i="2"/>
  <c r="E77" i="2"/>
  <c r="D77" i="2"/>
  <c r="C77" i="2"/>
  <c r="B77" i="2"/>
  <c r="S76" i="2"/>
  <c r="R76" i="2"/>
  <c r="Q76" i="2"/>
  <c r="P76" i="2"/>
  <c r="O76" i="2"/>
  <c r="M76" i="2"/>
  <c r="L76" i="2"/>
  <c r="K76" i="2"/>
  <c r="J76" i="2"/>
  <c r="I76" i="2"/>
  <c r="H76" i="2"/>
  <c r="G76" i="2"/>
  <c r="F76" i="2"/>
  <c r="E76" i="2"/>
  <c r="D76" i="2"/>
  <c r="C76" i="2"/>
  <c r="B76" i="2"/>
  <c r="S75" i="2"/>
  <c r="R75" i="2"/>
  <c r="Q75" i="2"/>
  <c r="P75" i="2"/>
  <c r="O75" i="2"/>
  <c r="M75" i="2"/>
  <c r="L75" i="2"/>
  <c r="K75" i="2"/>
  <c r="J75" i="2"/>
  <c r="I75" i="2"/>
  <c r="H75" i="2"/>
  <c r="G75" i="2"/>
  <c r="F75" i="2"/>
  <c r="E75" i="2"/>
  <c r="D75" i="2"/>
  <c r="C75" i="2"/>
  <c r="B75" i="2"/>
  <c r="S74" i="2"/>
  <c r="R74" i="2"/>
  <c r="Q74" i="2"/>
  <c r="P74" i="2"/>
  <c r="O74" i="2"/>
  <c r="M74" i="2"/>
  <c r="L74" i="2"/>
  <c r="K74" i="2"/>
  <c r="J74" i="2"/>
  <c r="I74" i="2"/>
  <c r="H74" i="2"/>
  <c r="G74" i="2"/>
  <c r="F74" i="2"/>
  <c r="E74" i="2"/>
  <c r="D74" i="2"/>
  <c r="C74" i="2"/>
  <c r="B74" i="2"/>
  <c r="S73" i="2"/>
  <c r="R73" i="2"/>
  <c r="Q73" i="2"/>
  <c r="P73" i="2"/>
  <c r="O73" i="2"/>
  <c r="M73" i="2"/>
  <c r="L73" i="2"/>
  <c r="K73" i="2"/>
  <c r="J73" i="2"/>
  <c r="I73" i="2"/>
  <c r="H73" i="2"/>
  <c r="G73" i="2"/>
  <c r="F73" i="2"/>
  <c r="E73" i="2"/>
  <c r="D73" i="2"/>
  <c r="C73" i="2"/>
  <c r="B73" i="2"/>
  <c r="S72" i="2"/>
  <c r="R72" i="2"/>
  <c r="Q72" i="2"/>
  <c r="P72" i="2"/>
  <c r="O72" i="2"/>
  <c r="M72" i="2"/>
  <c r="L72" i="2"/>
  <c r="K72" i="2"/>
  <c r="J72" i="2"/>
  <c r="I72" i="2"/>
  <c r="H72" i="2"/>
  <c r="G72" i="2"/>
  <c r="F72" i="2"/>
  <c r="E72" i="2"/>
  <c r="D72" i="2"/>
  <c r="C72" i="2"/>
  <c r="B72" i="2"/>
  <c r="S71" i="2"/>
  <c r="R71" i="2"/>
  <c r="Q71" i="2"/>
  <c r="P71" i="2"/>
  <c r="O71" i="2"/>
  <c r="M71" i="2"/>
  <c r="L71" i="2"/>
  <c r="K71" i="2"/>
  <c r="J71" i="2"/>
  <c r="I71" i="2"/>
  <c r="H71" i="2"/>
  <c r="G71" i="2"/>
  <c r="F71" i="2"/>
  <c r="E71" i="2"/>
  <c r="D71" i="2"/>
  <c r="C71" i="2"/>
  <c r="B71" i="2"/>
  <c r="S70" i="2"/>
  <c r="R70" i="2"/>
  <c r="Q70" i="2"/>
  <c r="P70" i="2"/>
  <c r="O70" i="2"/>
  <c r="M70" i="2"/>
  <c r="L70" i="2"/>
  <c r="K70" i="2"/>
  <c r="J70" i="2"/>
  <c r="I70" i="2"/>
  <c r="H70" i="2"/>
  <c r="G70" i="2"/>
  <c r="F70" i="2"/>
  <c r="E70" i="2"/>
  <c r="D70" i="2"/>
  <c r="C70" i="2"/>
  <c r="B70" i="2"/>
  <c r="S69" i="2"/>
  <c r="R69" i="2"/>
  <c r="Q69" i="2"/>
  <c r="P69" i="2"/>
  <c r="O69" i="2"/>
  <c r="M69" i="2"/>
  <c r="L69" i="2"/>
  <c r="K69" i="2"/>
  <c r="J69" i="2"/>
  <c r="I69" i="2"/>
  <c r="H69" i="2"/>
  <c r="G69" i="2"/>
  <c r="F69" i="2"/>
  <c r="E69" i="2"/>
  <c r="D69" i="2"/>
  <c r="C69" i="2"/>
  <c r="B69" i="2"/>
  <c r="S68" i="2"/>
  <c r="R68" i="2"/>
  <c r="Q68" i="2"/>
  <c r="P68" i="2"/>
  <c r="O68" i="2"/>
  <c r="M68" i="2"/>
  <c r="L68" i="2"/>
  <c r="K68" i="2"/>
  <c r="J68" i="2"/>
  <c r="I68" i="2"/>
  <c r="H68" i="2"/>
  <c r="G68" i="2"/>
  <c r="F68" i="2"/>
  <c r="E68" i="2"/>
  <c r="D68" i="2"/>
  <c r="C68" i="2"/>
  <c r="B68" i="2"/>
  <c r="S67" i="2"/>
  <c r="R67" i="2"/>
  <c r="Q67" i="2"/>
  <c r="P67" i="2"/>
  <c r="O67" i="2"/>
  <c r="M67" i="2"/>
  <c r="L67" i="2"/>
  <c r="K67" i="2"/>
  <c r="J67" i="2"/>
  <c r="I67" i="2"/>
  <c r="H67" i="2"/>
  <c r="G67" i="2"/>
  <c r="F67" i="2"/>
  <c r="E67" i="2"/>
  <c r="D67" i="2"/>
  <c r="C67" i="2"/>
  <c r="B67" i="2"/>
  <c r="S66" i="2"/>
  <c r="R66" i="2"/>
  <c r="Q66" i="2"/>
  <c r="P66" i="2"/>
  <c r="O66" i="2"/>
  <c r="M66" i="2"/>
  <c r="L66" i="2"/>
  <c r="K66" i="2"/>
  <c r="J66" i="2"/>
  <c r="I66" i="2"/>
  <c r="H66" i="2"/>
  <c r="G66" i="2"/>
  <c r="F66" i="2"/>
  <c r="E66" i="2"/>
  <c r="D66" i="2"/>
  <c r="C66" i="2"/>
  <c r="B66" i="2"/>
  <c r="S65" i="2"/>
  <c r="R65" i="2"/>
  <c r="Q65" i="2"/>
  <c r="P65" i="2"/>
  <c r="O65" i="2"/>
  <c r="M65" i="2"/>
  <c r="L65" i="2"/>
  <c r="K65" i="2"/>
  <c r="J65" i="2"/>
  <c r="I65" i="2"/>
  <c r="H65" i="2"/>
  <c r="G65" i="2"/>
  <c r="F65" i="2"/>
  <c r="E65" i="2"/>
  <c r="D65" i="2"/>
  <c r="C65" i="2"/>
  <c r="B65" i="2"/>
  <c r="S64" i="2"/>
  <c r="R64" i="2"/>
  <c r="Q64" i="2"/>
  <c r="P64" i="2"/>
  <c r="O64" i="2"/>
  <c r="M64" i="2"/>
  <c r="L64" i="2"/>
  <c r="K64" i="2"/>
  <c r="J64" i="2"/>
  <c r="I64" i="2"/>
  <c r="H64" i="2"/>
  <c r="G64" i="2"/>
  <c r="F64" i="2"/>
  <c r="E64" i="2"/>
  <c r="D64" i="2"/>
  <c r="C64" i="2"/>
  <c r="B64" i="2"/>
  <c r="S63" i="2"/>
  <c r="R63" i="2"/>
  <c r="Q63" i="2"/>
  <c r="P63" i="2"/>
  <c r="O63" i="2"/>
  <c r="M63" i="2"/>
  <c r="L63" i="2"/>
  <c r="K63" i="2"/>
  <c r="J63" i="2"/>
  <c r="I63" i="2"/>
  <c r="H63" i="2"/>
  <c r="G63" i="2"/>
  <c r="F63" i="2"/>
  <c r="E63" i="2"/>
  <c r="D63" i="2"/>
  <c r="C63" i="2"/>
  <c r="B63" i="2"/>
  <c r="S62" i="2"/>
  <c r="R62" i="2"/>
  <c r="Q62" i="2"/>
  <c r="P62" i="2"/>
  <c r="O62" i="2"/>
  <c r="M62" i="2"/>
  <c r="L62" i="2"/>
  <c r="K62" i="2"/>
  <c r="J62" i="2"/>
  <c r="I62" i="2"/>
  <c r="H62" i="2"/>
  <c r="G62" i="2"/>
  <c r="F62" i="2"/>
  <c r="E62" i="2"/>
  <c r="D62" i="2"/>
  <c r="C62" i="2"/>
  <c r="B62" i="2"/>
  <c r="S61" i="2"/>
  <c r="R61" i="2"/>
  <c r="Q61" i="2"/>
  <c r="P61" i="2"/>
  <c r="O61" i="2"/>
  <c r="M61" i="2"/>
  <c r="L61" i="2"/>
  <c r="K61" i="2"/>
  <c r="J61" i="2"/>
  <c r="I61" i="2"/>
  <c r="H61" i="2"/>
  <c r="G61" i="2"/>
  <c r="F61" i="2"/>
  <c r="E61" i="2"/>
  <c r="D61" i="2"/>
  <c r="C61" i="2"/>
  <c r="B61" i="2"/>
  <c r="S60" i="2"/>
  <c r="R60" i="2"/>
  <c r="Q60" i="2"/>
  <c r="P60" i="2"/>
  <c r="O60" i="2"/>
  <c r="M60" i="2"/>
  <c r="L60" i="2"/>
  <c r="K60" i="2"/>
  <c r="J60" i="2"/>
  <c r="I60" i="2"/>
  <c r="H60" i="2"/>
  <c r="G60" i="2"/>
  <c r="F60" i="2"/>
  <c r="E60" i="2"/>
  <c r="D60" i="2"/>
  <c r="C60" i="2"/>
  <c r="B60" i="2"/>
  <c r="S59" i="2"/>
  <c r="R59" i="2"/>
  <c r="Q59" i="2"/>
  <c r="P59" i="2"/>
  <c r="O59" i="2"/>
  <c r="M59" i="2"/>
  <c r="L59" i="2"/>
  <c r="K59" i="2"/>
  <c r="J59" i="2"/>
  <c r="I59" i="2"/>
  <c r="H59" i="2"/>
  <c r="G59" i="2"/>
  <c r="F59" i="2"/>
  <c r="E59" i="2"/>
  <c r="D59" i="2"/>
  <c r="C59" i="2"/>
  <c r="B59" i="2"/>
  <c r="S58" i="2"/>
  <c r="R58" i="2"/>
  <c r="Q58" i="2"/>
  <c r="P58" i="2"/>
  <c r="O58" i="2"/>
  <c r="M58" i="2"/>
  <c r="L58" i="2"/>
  <c r="K58" i="2"/>
  <c r="J58" i="2"/>
  <c r="I58" i="2"/>
  <c r="H58" i="2"/>
  <c r="G58" i="2"/>
  <c r="F58" i="2"/>
  <c r="E58" i="2"/>
  <c r="D58" i="2"/>
  <c r="C58" i="2"/>
  <c r="B58" i="2"/>
  <c r="S57" i="2"/>
  <c r="R57" i="2"/>
  <c r="Q57" i="2"/>
  <c r="P57" i="2"/>
  <c r="O57" i="2"/>
  <c r="M57" i="2"/>
  <c r="L57" i="2"/>
  <c r="K57" i="2"/>
  <c r="J57" i="2"/>
  <c r="I57" i="2"/>
  <c r="H57" i="2"/>
  <c r="G57" i="2"/>
  <c r="F57" i="2"/>
  <c r="E57" i="2"/>
  <c r="D57" i="2"/>
  <c r="C57" i="2"/>
  <c r="B57" i="2"/>
  <c r="S56" i="2"/>
  <c r="R56" i="2"/>
  <c r="Q56" i="2"/>
  <c r="P56" i="2"/>
  <c r="O56" i="2"/>
  <c r="M56" i="2"/>
  <c r="L56" i="2"/>
  <c r="K56" i="2"/>
  <c r="J56" i="2"/>
  <c r="I56" i="2"/>
  <c r="H56" i="2"/>
  <c r="G56" i="2"/>
  <c r="F56" i="2"/>
  <c r="E56" i="2"/>
  <c r="D56" i="2"/>
  <c r="C56" i="2"/>
  <c r="B56" i="2"/>
  <c r="S55" i="2"/>
  <c r="R55" i="2"/>
  <c r="Q55" i="2"/>
  <c r="P55" i="2"/>
  <c r="O55" i="2"/>
  <c r="M55" i="2"/>
  <c r="L55" i="2"/>
  <c r="K55" i="2"/>
  <c r="J55" i="2"/>
  <c r="I55" i="2"/>
  <c r="H55" i="2"/>
  <c r="G55" i="2"/>
  <c r="F55" i="2"/>
  <c r="E55" i="2"/>
  <c r="D55" i="2"/>
  <c r="C55" i="2"/>
  <c r="B55" i="2"/>
  <c r="S54" i="2"/>
  <c r="R54" i="2"/>
  <c r="Q54" i="2"/>
  <c r="P54" i="2"/>
  <c r="O54" i="2"/>
  <c r="M54" i="2"/>
  <c r="L54" i="2"/>
  <c r="K54" i="2"/>
  <c r="J54" i="2"/>
  <c r="I54" i="2"/>
  <c r="H54" i="2"/>
  <c r="G54" i="2"/>
  <c r="F54" i="2"/>
  <c r="E54" i="2"/>
  <c r="D54" i="2"/>
  <c r="C54" i="2"/>
  <c r="B54" i="2"/>
  <c r="S53" i="2"/>
  <c r="R53" i="2"/>
  <c r="Q53" i="2"/>
  <c r="P53" i="2"/>
  <c r="O53" i="2"/>
  <c r="M53" i="2"/>
  <c r="L53" i="2"/>
  <c r="K53" i="2"/>
  <c r="J53" i="2"/>
  <c r="I53" i="2"/>
  <c r="H53" i="2"/>
  <c r="G53" i="2"/>
  <c r="F53" i="2"/>
  <c r="E53" i="2"/>
  <c r="D53" i="2"/>
  <c r="C53" i="2"/>
  <c r="B53" i="2"/>
  <c r="S52" i="2"/>
  <c r="R52" i="2"/>
  <c r="Q52" i="2"/>
  <c r="P52" i="2"/>
  <c r="O52" i="2"/>
  <c r="M52" i="2"/>
  <c r="L52" i="2"/>
  <c r="K52" i="2"/>
  <c r="J52" i="2"/>
  <c r="I52" i="2"/>
  <c r="H52" i="2"/>
  <c r="G52" i="2"/>
  <c r="F52" i="2"/>
  <c r="E52" i="2"/>
  <c r="D52" i="2"/>
  <c r="C52" i="2"/>
  <c r="B52" i="2"/>
  <c r="S51" i="2"/>
  <c r="R51" i="2"/>
  <c r="Q51" i="2"/>
  <c r="P51" i="2"/>
  <c r="O51" i="2"/>
  <c r="M51" i="2"/>
  <c r="L51" i="2"/>
  <c r="K51" i="2"/>
  <c r="J51" i="2"/>
  <c r="I51" i="2"/>
  <c r="H51" i="2"/>
  <c r="G51" i="2"/>
  <c r="F51" i="2"/>
  <c r="E51" i="2"/>
  <c r="D51" i="2"/>
  <c r="C51" i="2"/>
  <c r="B51" i="2"/>
  <c r="S50" i="2"/>
  <c r="R50" i="2"/>
  <c r="Q50" i="2"/>
  <c r="P50" i="2"/>
  <c r="O50" i="2"/>
  <c r="M50" i="2"/>
  <c r="L50" i="2"/>
  <c r="K50" i="2"/>
  <c r="J50" i="2"/>
  <c r="I50" i="2"/>
  <c r="H50" i="2"/>
  <c r="G50" i="2"/>
  <c r="F50" i="2"/>
  <c r="E50" i="2"/>
  <c r="D50" i="2"/>
  <c r="C50" i="2"/>
  <c r="B50" i="2"/>
  <c r="S49" i="2"/>
  <c r="R49" i="2"/>
  <c r="Q49" i="2"/>
  <c r="P49" i="2"/>
  <c r="O49" i="2"/>
  <c r="M49" i="2"/>
  <c r="L49" i="2"/>
  <c r="K49" i="2"/>
  <c r="J49" i="2"/>
  <c r="I49" i="2"/>
  <c r="H49" i="2"/>
  <c r="G49" i="2"/>
  <c r="F49" i="2"/>
  <c r="E49" i="2"/>
  <c r="D49" i="2"/>
  <c r="C49" i="2"/>
  <c r="B49" i="2"/>
  <c r="S48" i="2"/>
  <c r="R48" i="2"/>
  <c r="Q48" i="2"/>
  <c r="P48" i="2"/>
  <c r="O48" i="2"/>
  <c r="M48" i="2"/>
  <c r="L48" i="2"/>
  <c r="K48" i="2"/>
  <c r="J48" i="2"/>
  <c r="I48" i="2"/>
  <c r="H48" i="2"/>
  <c r="G48" i="2"/>
  <c r="F48" i="2"/>
  <c r="E48" i="2"/>
  <c r="D48" i="2"/>
  <c r="C48" i="2"/>
  <c r="B48" i="2"/>
  <c r="S47" i="2"/>
  <c r="R47" i="2"/>
  <c r="Q47" i="2"/>
  <c r="P47" i="2"/>
  <c r="O47" i="2"/>
  <c r="M47" i="2"/>
  <c r="L47" i="2"/>
  <c r="K47" i="2"/>
  <c r="J47" i="2"/>
  <c r="I47" i="2"/>
  <c r="H47" i="2"/>
  <c r="G47" i="2"/>
  <c r="F47" i="2"/>
  <c r="E47" i="2"/>
  <c r="D47" i="2"/>
  <c r="C47" i="2"/>
  <c r="B47" i="2"/>
  <c r="S46" i="2"/>
  <c r="R46" i="2"/>
  <c r="Q46" i="2"/>
  <c r="P46" i="2"/>
  <c r="O46" i="2"/>
  <c r="M46" i="2"/>
  <c r="L46" i="2"/>
  <c r="K46" i="2"/>
  <c r="J46" i="2"/>
  <c r="I46" i="2"/>
  <c r="H46" i="2"/>
  <c r="G46" i="2"/>
  <c r="F46" i="2"/>
  <c r="E46" i="2"/>
  <c r="D46" i="2"/>
  <c r="C46" i="2"/>
  <c r="B46" i="2"/>
  <c r="S45" i="2"/>
  <c r="R45" i="2"/>
  <c r="Q45" i="2"/>
  <c r="P45" i="2"/>
  <c r="O45" i="2"/>
  <c r="M45" i="2"/>
  <c r="L45" i="2"/>
  <c r="K45" i="2"/>
  <c r="J45" i="2"/>
  <c r="I45" i="2"/>
  <c r="H45" i="2"/>
  <c r="G45" i="2"/>
  <c r="F45" i="2"/>
  <c r="E45" i="2"/>
  <c r="D45" i="2"/>
  <c r="C45" i="2"/>
  <c r="B45" i="2"/>
  <c r="S44" i="2"/>
  <c r="R44" i="2"/>
  <c r="Q44" i="2"/>
  <c r="P44" i="2"/>
  <c r="O44" i="2"/>
  <c r="M44" i="2"/>
  <c r="L44" i="2"/>
  <c r="K44" i="2"/>
  <c r="J44" i="2"/>
  <c r="I44" i="2"/>
  <c r="H44" i="2"/>
  <c r="G44" i="2"/>
  <c r="F44" i="2"/>
  <c r="E44" i="2"/>
  <c r="D44" i="2"/>
  <c r="C44" i="2"/>
  <c r="B44" i="2"/>
  <c r="S43" i="2"/>
  <c r="R43" i="2"/>
  <c r="Q43" i="2"/>
  <c r="P43" i="2"/>
  <c r="O43" i="2"/>
  <c r="M43" i="2"/>
  <c r="L43" i="2"/>
  <c r="K43" i="2"/>
  <c r="J43" i="2"/>
  <c r="I43" i="2"/>
  <c r="H43" i="2"/>
  <c r="G43" i="2"/>
  <c r="F43" i="2"/>
  <c r="E43" i="2"/>
  <c r="D43" i="2"/>
  <c r="C43" i="2"/>
  <c r="B43" i="2"/>
  <c r="S42" i="2"/>
  <c r="R42" i="2"/>
  <c r="Q42" i="2"/>
  <c r="P42" i="2"/>
  <c r="O42" i="2"/>
  <c r="M42" i="2"/>
  <c r="L42" i="2"/>
  <c r="K42" i="2"/>
  <c r="J42" i="2"/>
  <c r="I42" i="2"/>
  <c r="H42" i="2"/>
  <c r="G42" i="2"/>
  <c r="F42" i="2"/>
  <c r="E42" i="2"/>
  <c r="D42" i="2"/>
  <c r="C42" i="2"/>
  <c r="B42" i="2"/>
  <c r="S41" i="2"/>
  <c r="R41" i="2"/>
  <c r="Q41" i="2"/>
  <c r="P41" i="2"/>
  <c r="O41" i="2"/>
  <c r="M41" i="2"/>
  <c r="L41" i="2"/>
  <c r="K41" i="2"/>
  <c r="J41" i="2"/>
  <c r="I41" i="2"/>
  <c r="H41" i="2"/>
  <c r="G41" i="2"/>
  <c r="F41" i="2"/>
  <c r="E41" i="2"/>
  <c r="D41" i="2"/>
  <c r="C41" i="2"/>
  <c r="B41" i="2"/>
  <c r="S40" i="2"/>
  <c r="R40" i="2"/>
  <c r="Q40" i="2"/>
  <c r="P40" i="2"/>
  <c r="O40" i="2"/>
  <c r="M40" i="2"/>
  <c r="L40" i="2"/>
  <c r="K40" i="2"/>
  <c r="J40" i="2"/>
  <c r="I40" i="2"/>
  <c r="H40" i="2"/>
  <c r="G40" i="2"/>
  <c r="F40" i="2"/>
  <c r="E40" i="2"/>
  <c r="D40" i="2"/>
  <c r="C40" i="2"/>
  <c r="B40" i="2"/>
  <c r="S39" i="2"/>
  <c r="R39" i="2"/>
  <c r="Q39" i="2"/>
  <c r="P39" i="2"/>
  <c r="O39" i="2"/>
  <c r="M39" i="2"/>
  <c r="L39" i="2"/>
  <c r="K39" i="2"/>
  <c r="J39" i="2"/>
  <c r="I39" i="2"/>
  <c r="H39" i="2"/>
  <c r="G39" i="2"/>
  <c r="F39" i="2"/>
  <c r="E39" i="2"/>
  <c r="D39" i="2"/>
  <c r="C39" i="2"/>
  <c r="B39" i="2"/>
  <c r="S38" i="2"/>
  <c r="R38" i="2"/>
  <c r="Q38" i="2"/>
  <c r="P38" i="2"/>
  <c r="O38" i="2"/>
  <c r="M38" i="2"/>
  <c r="L38" i="2"/>
  <c r="K38" i="2"/>
  <c r="J38" i="2"/>
  <c r="I38" i="2"/>
  <c r="H38" i="2"/>
  <c r="G38" i="2"/>
  <c r="F38" i="2"/>
  <c r="E38" i="2"/>
  <c r="D38" i="2"/>
  <c r="C38" i="2"/>
  <c r="B38" i="2"/>
  <c r="S37" i="2"/>
  <c r="R37" i="2"/>
  <c r="Q37" i="2"/>
  <c r="P37" i="2"/>
  <c r="O37" i="2"/>
  <c r="M37" i="2"/>
  <c r="L37" i="2"/>
  <c r="K37" i="2"/>
  <c r="J37" i="2"/>
  <c r="I37" i="2"/>
  <c r="H37" i="2"/>
  <c r="G37" i="2"/>
  <c r="F37" i="2"/>
  <c r="E37" i="2"/>
  <c r="D37" i="2"/>
  <c r="C37" i="2"/>
  <c r="B37" i="2"/>
  <c r="S36" i="2"/>
  <c r="R36" i="2"/>
  <c r="Q36" i="2"/>
  <c r="P36" i="2"/>
  <c r="O36" i="2"/>
  <c r="M36" i="2"/>
  <c r="L36" i="2"/>
  <c r="K36" i="2"/>
  <c r="J36" i="2"/>
  <c r="I36" i="2"/>
  <c r="H36" i="2"/>
  <c r="G36" i="2"/>
  <c r="F36" i="2"/>
  <c r="E36" i="2"/>
  <c r="D36" i="2"/>
  <c r="C36" i="2"/>
  <c r="B36" i="2"/>
  <c r="S35" i="2"/>
  <c r="R35" i="2"/>
  <c r="Q35" i="2"/>
  <c r="P35" i="2"/>
  <c r="O35" i="2"/>
  <c r="M35" i="2"/>
  <c r="L35" i="2"/>
  <c r="K35" i="2"/>
  <c r="J35" i="2"/>
  <c r="I35" i="2"/>
  <c r="H35" i="2"/>
  <c r="G35" i="2"/>
  <c r="F35" i="2"/>
  <c r="E35" i="2"/>
  <c r="D35" i="2"/>
  <c r="C35" i="2"/>
  <c r="B35" i="2"/>
  <c r="S34" i="2"/>
  <c r="R34" i="2"/>
  <c r="Q34" i="2"/>
  <c r="P34" i="2"/>
  <c r="O34" i="2"/>
  <c r="M34" i="2"/>
  <c r="L34" i="2"/>
  <c r="K34" i="2"/>
  <c r="J34" i="2"/>
  <c r="I34" i="2"/>
  <c r="H34" i="2"/>
  <c r="G34" i="2"/>
  <c r="F34" i="2"/>
  <c r="E34" i="2"/>
  <c r="D34" i="2"/>
  <c r="C34" i="2"/>
  <c r="B34" i="2"/>
  <c r="S33" i="2"/>
  <c r="R33" i="2"/>
  <c r="Q33" i="2"/>
  <c r="P33" i="2"/>
  <c r="O33" i="2"/>
  <c r="M33" i="2"/>
  <c r="L33" i="2"/>
  <c r="K33" i="2"/>
  <c r="J33" i="2"/>
  <c r="I33" i="2"/>
  <c r="H33" i="2"/>
  <c r="G33" i="2"/>
  <c r="F33" i="2"/>
  <c r="E33" i="2"/>
  <c r="D33" i="2"/>
  <c r="C33" i="2"/>
  <c r="B33" i="2"/>
  <c r="S32" i="2"/>
  <c r="R32" i="2"/>
  <c r="Q32" i="2"/>
  <c r="P32" i="2"/>
  <c r="O32" i="2"/>
  <c r="M32" i="2"/>
  <c r="L32" i="2"/>
  <c r="K32" i="2"/>
  <c r="J32" i="2"/>
  <c r="I32" i="2"/>
  <c r="H32" i="2"/>
  <c r="G32" i="2"/>
  <c r="F32" i="2"/>
  <c r="E32" i="2"/>
  <c r="D32" i="2"/>
  <c r="C32" i="2"/>
  <c r="B32" i="2"/>
  <c r="S31" i="2"/>
  <c r="R31" i="2"/>
  <c r="Q31" i="2"/>
  <c r="P31" i="2"/>
  <c r="O31" i="2"/>
  <c r="M31" i="2"/>
  <c r="L31" i="2"/>
  <c r="K31" i="2"/>
  <c r="J31" i="2"/>
  <c r="I31" i="2"/>
  <c r="H31" i="2"/>
  <c r="G31" i="2"/>
  <c r="F31" i="2"/>
  <c r="E31" i="2"/>
  <c r="D31" i="2"/>
  <c r="C31" i="2"/>
  <c r="B31" i="2"/>
  <c r="S30" i="2"/>
  <c r="R30" i="2"/>
  <c r="Q30" i="2"/>
  <c r="P30" i="2"/>
  <c r="O30" i="2"/>
  <c r="M30" i="2"/>
  <c r="L30" i="2"/>
  <c r="K30" i="2"/>
  <c r="J30" i="2"/>
  <c r="I30" i="2"/>
  <c r="H30" i="2"/>
  <c r="G30" i="2"/>
  <c r="F30" i="2"/>
  <c r="E30" i="2"/>
  <c r="D30" i="2"/>
  <c r="C30" i="2"/>
  <c r="B30" i="2"/>
  <c r="S29" i="2"/>
  <c r="R29" i="2"/>
  <c r="Q29" i="2"/>
  <c r="P29" i="2"/>
  <c r="O29" i="2"/>
  <c r="M29" i="2"/>
  <c r="L29" i="2"/>
  <c r="K29" i="2"/>
  <c r="J29" i="2"/>
  <c r="I29" i="2"/>
  <c r="H29" i="2"/>
  <c r="G29" i="2"/>
  <c r="F29" i="2"/>
  <c r="E29" i="2"/>
  <c r="D29" i="2"/>
  <c r="C29" i="2"/>
  <c r="B29" i="2"/>
  <c r="S28" i="2"/>
  <c r="R28" i="2"/>
  <c r="Q28" i="2"/>
  <c r="P28" i="2"/>
  <c r="O28" i="2"/>
  <c r="M28" i="2"/>
  <c r="L28" i="2"/>
  <c r="K28" i="2"/>
  <c r="J28" i="2"/>
  <c r="I28" i="2"/>
  <c r="H28" i="2"/>
  <c r="G28" i="2"/>
  <c r="F28" i="2"/>
  <c r="E28" i="2"/>
  <c r="D28" i="2"/>
  <c r="C28" i="2"/>
  <c r="B28" i="2"/>
  <c r="S27" i="2"/>
  <c r="R27" i="2"/>
  <c r="Q27" i="2"/>
  <c r="P27" i="2"/>
  <c r="O27" i="2"/>
  <c r="M27" i="2"/>
  <c r="L27" i="2"/>
  <c r="K27" i="2"/>
  <c r="J27" i="2"/>
  <c r="I27" i="2"/>
  <c r="H27" i="2"/>
  <c r="G27" i="2"/>
  <c r="F27" i="2"/>
  <c r="E27" i="2"/>
  <c r="D27" i="2"/>
  <c r="C27" i="2"/>
  <c r="B27" i="2"/>
  <c r="S26" i="2"/>
  <c r="R26" i="2"/>
  <c r="Q26" i="2"/>
  <c r="P26" i="2"/>
  <c r="O26" i="2"/>
  <c r="M26" i="2"/>
  <c r="L26" i="2"/>
  <c r="K26" i="2"/>
  <c r="J26" i="2"/>
  <c r="I26" i="2"/>
  <c r="H26" i="2"/>
  <c r="G26" i="2"/>
  <c r="F26" i="2"/>
  <c r="E26" i="2"/>
  <c r="D26" i="2"/>
  <c r="C26" i="2"/>
  <c r="B26" i="2"/>
  <c r="S25" i="2"/>
  <c r="R25" i="2"/>
  <c r="Q25" i="2"/>
  <c r="P25" i="2"/>
  <c r="O25" i="2"/>
  <c r="M25" i="2"/>
  <c r="L25" i="2"/>
  <c r="K25" i="2"/>
  <c r="J25" i="2"/>
  <c r="I25" i="2"/>
  <c r="H25" i="2"/>
  <c r="G25" i="2"/>
  <c r="F25" i="2"/>
  <c r="E25" i="2"/>
  <c r="D25" i="2"/>
  <c r="C25" i="2"/>
  <c r="B25" i="2"/>
  <c r="S24" i="2"/>
  <c r="R24" i="2"/>
  <c r="Q24" i="2"/>
  <c r="P24" i="2"/>
  <c r="O24" i="2"/>
  <c r="M24" i="2"/>
  <c r="L24" i="2"/>
  <c r="K24" i="2"/>
  <c r="J24" i="2"/>
  <c r="I24" i="2"/>
  <c r="H24" i="2"/>
  <c r="G24" i="2"/>
  <c r="F24" i="2"/>
  <c r="E24" i="2"/>
  <c r="D24" i="2"/>
  <c r="C24" i="2"/>
  <c r="B24" i="2"/>
  <c r="S23" i="2"/>
  <c r="R23" i="2"/>
  <c r="Q23" i="2"/>
  <c r="P23" i="2"/>
  <c r="O23" i="2"/>
  <c r="M23" i="2"/>
  <c r="L23" i="2"/>
  <c r="K23" i="2"/>
  <c r="J23" i="2"/>
  <c r="I23" i="2"/>
  <c r="H23" i="2"/>
  <c r="G23" i="2"/>
  <c r="F23" i="2"/>
  <c r="E23" i="2"/>
  <c r="D23" i="2"/>
  <c r="C23" i="2"/>
  <c r="B23" i="2"/>
  <c r="S22" i="2"/>
  <c r="R22" i="2"/>
  <c r="Q22" i="2"/>
  <c r="P22" i="2"/>
  <c r="O22" i="2"/>
  <c r="M22" i="2"/>
  <c r="L22" i="2"/>
  <c r="K22" i="2"/>
  <c r="J22" i="2"/>
  <c r="I22" i="2"/>
  <c r="H22" i="2"/>
  <c r="G22" i="2"/>
  <c r="F22" i="2"/>
  <c r="E22" i="2"/>
  <c r="D22" i="2"/>
  <c r="C22" i="2"/>
  <c r="B22" i="2"/>
  <c r="S21" i="2"/>
  <c r="R21" i="2"/>
  <c r="Q21" i="2"/>
  <c r="P21" i="2"/>
  <c r="O21" i="2"/>
  <c r="M21" i="2"/>
  <c r="L21" i="2"/>
  <c r="K21" i="2"/>
  <c r="J21" i="2"/>
  <c r="I21" i="2"/>
  <c r="H21" i="2"/>
  <c r="G21" i="2"/>
  <c r="F21" i="2"/>
  <c r="E21" i="2"/>
  <c r="D21" i="2"/>
  <c r="C21" i="2"/>
  <c r="B21" i="2"/>
  <c r="S20" i="2"/>
  <c r="R20" i="2"/>
  <c r="Q20" i="2"/>
  <c r="P20" i="2"/>
  <c r="O20" i="2"/>
  <c r="M20" i="2"/>
  <c r="L20" i="2"/>
  <c r="K20" i="2"/>
  <c r="J20" i="2"/>
  <c r="I20" i="2"/>
  <c r="H20" i="2"/>
  <c r="G20" i="2"/>
  <c r="F20" i="2"/>
  <c r="E20" i="2"/>
  <c r="D20" i="2"/>
  <c r="C20" i="2"/>
  <c r="B20" i="2"/>
  <c r="S19" i="2"/>
  <c r="R19" i="2"/>
  <c r="Q19" i="2"/>
  <c r="P19" i="2"/>
  <c r="O19" i="2"/>
  <c r="M19" i="2"/>
  <c r="L19" i="2"/>
  <c r="K19" i="2"/>
  <c r="J19" i="2"/>
  <c r="I19" i="2"/>
  <c r="H19" i="2"/>
  <c r="G19" i="2"/>
  <c r="F19" i="2"/>
  <c r="E19" i="2"/>
  <c r="D19" i="2"/>
  <c r="C19" i="2"/>
  <c r="B19" i="2"/>
  <c r="S18" i="2"/>
  <c r="R18" i="2"/>
  <c r="Q18" i="2"/>
  <c r="P18" i="2"/>
  <c r="O18" i="2"/>
  <c r="M18" i="2"/>
  <c r="L18" i="2"/>
  <c r="K18" i="2"/>
  <c r="J18" i="2"/>
  <c r="I18" i="2"/>
  <c r="H18" i="2"/>
  <c r="G18" i="2"/>
  <c r="F18" i="2"/>
  <c r="E18" i="2"/>
  <c r="D18" i="2"/>
  <c r="C18" i="2"/>
  <c r="B18" i="2"/>
  <c r="S17" i="2"/>
  <c r="R17" i="2"/>
  <c r="Q17" i="2"/>
  <c r="P17" i="2"/>
  <c r="O17" i="2"/>
  <c r="M17" i="2"/>
  <c r="L17" i="2"/>
  <c r="K17" i="2"/>
  <c r="J17" i="2"/>
  <c r="I17" i="2"/>
  <c r="H17" i="2"/>
  <c r="G17" i="2"/>
  <c r="F17" i="2"/>
  <c r="E17" i="2"/>
  <c r="D17" i="2"/>
  <c r="C17" i="2"/>
  <c r="B17" i="2"/>
  <c r="S16" i="2"/>
  <c r="R16" i="2"/>
  <c r="Q16" i="2"/>
  <c r="P16" i="2"/>
  <c r="O16" i="2"/>
  <c r="M16" i="2"/>
  <c r="L16" i="2"/>
  <c r="K16" i="2"/>
  <c r="J16" i="2"/>
  <c r="I16" i="2"/>
  <c r="H16" i="2"/>
  <c r="G16" i="2"/>
  <c r="F16" i="2"/>
  <c r="E16" i="2"/>
  <c r="D16" i="2"/>
  <c r="C16" i="2"/>
  <c r="B16" i="2"/>
  <c r="S15" i="2"/>
  <c r="R15" i="2"/>
  <c r="Q15" i="2"/>
  <c r="P15" i="2"/>
  <c r="O15" i="2"/>
  <c r="M15" i="2"/>
  <c r="L15" i="2"/>
  <c r="K15" i="2"/>
  <c r="J15" i="2"/>
  <c r="I15" i="2"/>
  <c r="H15" i="2"/>
  <c r="G15" i="2"/>
  <c r="F15" i="2"/>
  <c r="E15" i="2"/>
  <c r="D15" i="2"/>
  <c r="C15" i="2"/>
  <c r="B15" i="2"/>
  <c r="S14" i="2"/>
  <c r="R14" i="2"/>
  <c r="Q14" i="2"/>
  <c r="P14" i="2"/>
  <c r="O14" i="2"/>
  <c r="M14" i="2"/>
  <c r="L14" i="2"/>
  <c r="K14" i="2"/>
  <c r="J14" i="2"/>
  <c r="I14" i="2"/>
  <c r="H14" i="2"/>
  <c r="G14" i="2"/>
  <c r="F14" i="2"/>
  <c r="E14" i="2"/>
  <c r="D14" i="2"/>
  <c r="C14" i="2"/>
  <c r="B14" i="2"/>
  <c r="S13" i="2"/>
  <c r="R13" i="2"/>
  <c r="Q13" i="2"/>
  <c r="P13" i="2"/>
  <c r="O13" i="2"/>
  <c r="M13" i="2"/>
  <c r="L13" i="2"/>
  <c r="K13" i="2"/>
  <c r="J13" i="2"/>
  <c r="I13" i="2"/>
  <c r="H13" i="2"/>
  <c r="G13" i="2"/>
  <c r="F13" i="2"/>
  <c r="E13" i="2"/>
  <c r="D13" i="2"/>
  <c r="C13" i="2"/>
  <c r="B13" i="2"/>
  <c r="S12" i="2"/>
  <c r="R12" i="2"/>
  <c r="Q12" i="2"/>
  <c r="P12" i="2"/>
  <c r="O12" i="2"/>
  <c r="M12" i="2"/>
  <c r="L12" i="2"/>
  <c r="K12" i="2"/>
  <c r="J12" i="2"/>
  <c r="I12" i="2"/>
  <c r="H12" i="2"/>
  <c r="G12" i="2"/>
  <c r="F12" i="2"/>
  <c r="E12" i="2"/>
  <c r="D12" i="2"/>
  <c r="C12" i="2"/>
  <c r="B12" i="2"/>
  <c r="S11" i="2"/>
  <c r="R11" i="2"/>
  <c r="Q11" i="2"/>
  <c r="P11" i="2"/>
  <c r="O11" i="2"/>
  <c r="M11" i="2"/>
  <c r="L11" i="2"/>
  <c r="K11" i="2"/>
  <c r="J11" i="2"/>
  <c r="I11" i="2"/>
  <c r="H11" i="2"/>
  <c r="G11" i="2"/>
  <c r="F11" i="2"/>
  <c r="E11" i="2"/>
  <c r="D11" i="2"/>
  <c r="C11" i="2"/>
  <c r="B11" i="2"/>
  <c r="S10" i="2"/>
  <c r="R10" i="2"/>
  <c r="Q10" i="2"/>
  <c r="P10" i="2"/>
  <c r="O10" i="2"/>
  <c r="M10" i="2"/>
  <c r="L10" i="2"/>
  <c r="K10" i="2"/>
  <c r="J10" i="2"/>
  <c r="I10" i="2"/>
  <c r="H10" i="2"/>
  <c r="G10" i="2"/>
  <c r="F10" i="2"/>
  <c r="E10" i="2"/>
  <c r="D10" i="2"/>
  <c r="C10" i="2"/>
  <c r="B10" i="2"/>
  <c r="S9" i="2"/>
  <c r="R9" i="2"/>
  <c r="Q9" i="2"/>
  <c r="P9" i="2"/>
  <c r="O9" i="2"/>
  <c r="M9" i="2"/>
  <c r="L9" i="2"/>
  <c r="K9" i="2"/>
  <c r="J9" i="2"/>
  <c r="I9" i="2"/>
  <c r="H9" i="2"/>
  <c r="G9" i="2"/>
  <c r="F9" i="2"/>
  <c r="E9" i="2"/>
  <c r="D9" i="2"/>
  <c r="C9" i="2"/>
  <c r="B9" i="2"/>
  <c r="S8" i="2"/>
  <c r="R8" i="2"/>
  <c r="Q8" i="2"/>
  <c r="P8" i="2"/>
  <c r="O8" i="2"/>
  <c r="M8" i="2"/>
  <c r="L8" i="2"/>
  <c r="K8" i="2"/>
  <c r="J8" i="2"/>
  <c r="I8" i="2"/>
  <c r="H8" i="2"/>
  <c r="G8" i="2"/>
  <c r="F8" i="2"/>
  <c r="E8" i="2"/>
  <c r="D8" i="2"/>
  <c r="C8" i="2"/>
  <c r="B8" i="2"/>
  <c r="S7" i="2"/>
  <c r="R7" i="2"/>
  <c r="Q7" i="2"/>
  <c r="P7" i="2"/>
  <c r="O7" i="2"/>
  <c r="M7" i="2"/>
  <c r="L7" i="2"/>
  <c r="K7" i="2"/>
  <c r="J7" i="2"/>
  <c r="I7" i="2"/>
  <c r="H7" i="2"/>
  <c r="G7" i="2"/>
  <c r="F7" i="2"/>
  <c r="E7" i="2"/>
  <c r="D7" i="2"/>
  <c r="C7" i="2"/>
  <c r="B7" i="2"/>
  <c r="S6" i="2"/>
  <c r="R6" i="2"/>
  <c r="Q6" i="2"/>
  <c r="P6" i="2"/>
  <c r="O6" i="2"/>
  <c r="M6" i="2"/>
  <c r="L6" i="2"/>
  <c r="K6" i="2"/>
  <c r="J6" i="2"/>
  <c r="I6" i="2"/>
  <c r="H6" i="2"/>
  <c r="G6" i="2"/>
  <c r="F6" i="2"/>
  <c r="E6" i="2"/>
  <c r="D6" i="2"/>
  <c r="C6" i="2"/>
  <c r="B6" i="2"/>
  <c r="S5" i="2"/>
  <c r="R5" i="2"/>
  <c r="Q5" i="2"/>
  <c r="P5" i="2"/>
  <c r="O5" i="2"/>
  <c r="M5" i="2"/>
  <c r="L5" i="2"/>
  <c r="K5" i="2"/>
  <c r="J5" i="2"/>
  <c r="I5" i="2"/>
  <c r="H5" i="2"/>
  <c r="G5" i="2"/>
  <c r="F5" i="2"/>
  <c r="E5" i="2"/>
  <c r="D5" i="2"/>
  <c r="C5" i="2"/>
  <c r="B5" i="2"/>
  <c r="S4" i="2"/>
  <c r="R4" i="2"/>
  <c r="Q4" i="2"/>
  <c r="P4" i="2"/>
  <c r="O4" i="2"/>
  <c r="M4" i="2"/>
  <c r="L4" i="2"/>
  <c r="K4" i="2"/>
  <c r="J4" i="2"/>
  <c r="I4" i="2"/>
  <c r="H4" i="2"/>
  <c r="G4" i="2"/>
  <c r="F4" i="2"/>
  <c r="E4" i="2"/>
  <c r="D4" i="2"/>
  <c r="C4" i="2"/>
  <c r="B4" i="2"/>
  <c r="S3" i="2"/>
  <c r="R3" i="2"/>
  <c r="Q3" i="2"/>
  <c r="P3" i="2"/>
  <c r="O3" i="2"/>
  <c r="M3" i="2"/>
  <c r="L3" i="2"/>
  <c r="K3" i="2"/>
  <c r="J3" i="2"/>
  <c r="I3" i="2"/>
  <c r="H3" i="2"/>
  <c r="G3" i="2"/>
  <c r="F3" i="2"/>
  <c r="E3" i="2"/>
  <c r="D3" i="2"/>
  <c r="C3" i="2"/>
  <c r="B3" i="2"/>
  <c r="D4321" i="1" l="1"/>
  <c r="D4320" i="1"/>
  <c r="D4319" i="1"/>
  <c r="D4318" i="1"/>
  <c r="D4317" i="1"/>
  <c r="D4316" i="1"/>
  <c r="D4315" i="1"/>
  <c r="D4314" i="1"/>
  <c r="D4313" i="1"/>
  <c r="D4312" i="1"/>
  <c r="D4311" i="1"/>
  <c r="D4310" i="1"/>
  <c r="D4309" i="1"/>
  <c r="D4308" i="1"/>
  <c r="D4307" i="1"/>
  <c r="D4306" i="1"/>
  <c r="D4305" i="1"/>
  <c r="D4304" i="1"/>
  <c r="D4303" i="1"/>
  <c r="D4302" i="1"/>
  <c r="D4301" i="1"/>
  <c r="D4300" i="1"/>
  <c r="D4299" i="1"/>
  <c r="D4298" i="1"/>
  <c r="D4297" i="1"/>
  <c r="D4296" i="1"/>
  <c r="D4295" i="1"/>
  <c r="D4294" i="1"/>
  <c r="D4293" i="1"/>
  <c r="D4292" i="1"/>
  <c r="D4291" i="1"/>
  <c r="D4290" i="1"/>
  <c r="D4289" i="1"/>
  <c r="D4288" i="1"/>
  <c r="D4287" i="1"/>
  <c r="D4286" i="1"/>
  <c r="D4285" i="1"/>
  <c r="D4284" i="1"/>
  <c r="D4283" i="1"/>
  <c r="D4282" i="1"/>
  <c r="D4281" i="1"/>
  <c r="D4280" i="1"/>
  <c r="D4279" i="1"/>
  <c r="D4278" i="1"/>
  <c r="D4277" i="1"/>
  <c r="D4276" i="1"/>
  <c r="D4275" i="1"/>
  <c r="D4274" i="1"/>
  <c r="D4273" i="1"/>
  <c r="D4272" i="1"/>
  <c r="D4271" i="1"/>
  <c r="D4270" i="1"/>
  <c r="D4269" i="1"/>
  <c r="D4268" i="1"/>
  <c r="D4267" i="1"/>
  <c r="D4266" i="1"/>
  <c r="D4265" i="1"/>
  <c r="D4264" i="1"/>
  <c r="D4263" i="1"/>
  <c r="D4262" i="1"/>
  <c r="D4261" i="1"/>
  <c r="D4260" i="1"/>
  <c r="D4259" i="1"/>
  <c r="D4258" i="1"/>
  <c r="D4257" i="1"/>
  <c r="D4256" i="1"/>
  <c r="D4255" i="1"/>
  <c r="D4254" i="1"/>
  <c r="D4253" i="1"/>
  <c r="D4252" i="1"/>
  <c r="D4251" i="1"/>
  <c r="D4250" i="1"/>
  <c r="D4249" i="1"/>
  <c r="D4248" i="1"/>
  <c r="D4247" i="1"/>
  <c r="D4246" i="1"/>
  <c r="D4245" i="1"/>
  <c r="D4244" i="1"/>
  <c r="D4243" i="1"/>
  <c r="D4242" i="1"/>
  <c r="D4241" i="1"/>
  <c r="D4240" i="1"/>
  <c r="D4239" i="1"/>
  <c r="D4238" i="1"/>
  <c r="D4237" i="1"/>
  <c r="D4236" i="1"/>
  <c r="D4235" i="1"/>
  <c r="D4234" i="1"/>
  <c r="D4233" i="1"/>
  <c r="D4232" i="1"/>
  <c r="D4231" i="1"/>
  <c r="D4230" i="1"/>
  <c r="D4229" i="1"/>
  <c r="D4228" i="1"/>
  <c r="D4227" i="1"/>
  <c r="D4226" i="1"/>
  <c r="D4225" i="1"/>
  <c r="D4224" i="1"/>
  <c r="D4223" i="1"/>
  <c r="D4222" i="1"/>
  <c r="D4221" i="1"/>
  <c r="D4220" i="1"/>
  <c r="D4219" i="1"/>
  <c r="D4218" i="1"/>
  <c r="D4217" i="1"/>
  <c r="D4216" i="1"/>
  <c r="D4215" i="1"/>
  <c r="D4214" i="1"/>
  <c r="D4213" i="1"/>
  <c r="D4212" i="1"/>
  <c r="D4211" i="1"/>
  <c r="D4210" i="1"/>
  <c r="D4209" i="1"/>
  <c r="D4208" i="1"/>
  <c r="D4207" i="1"/>
  <c r="D4206" i="1"/>
  <c r="D4205" i="1"/>
  <c r="D4204" i="1"/>
  <c r="D4203" i="1"/>
  <c r="D4202" i="1"/>
  <c r="D4201" i="1"/>
  <c r="D4200" i="1"/>
  <c r="D4199" i="1"/>
  <c r="D4198" i="1"/>
  <c r="D4197" i="1"/>
  <c r="D4196" i="1"/>
  <c r="D4195" i="1"/>
  <c r="D4194" i="1"/>
  <c r="D4193" i="1"/>
  <c r="D4192" i="1"/>
  <c r="D4191" i="1"/>
  <c r="D4190" i="1"/>
  <c r="D4189" i="1"/>
  <c r="D4188" i="1"/>
  <c r="D4187" i="1"/>
  <c r="D4186" i="1"/>
  <c r="D4185" i="1"/>
  <c r="D4184" i="1"/>
  <c r="D4183" i="1"/>
  <c r="D4182" i="1"/>
  <c r="D4181" i="1"/>
  <c r="D4180" i="1"/>
  <c r="D4179" i="1"/>
  <c r="D4178" i="1"/>
  <c r="D4177" i="1"/>
  <c r="D4176" i="1"/>
  <c r="D4175" i="1"/>
  <c r="D4174" i="1"/>
  <c r="D4173" i="1"/>
  <c r="D4172" i="1"/>
  <c r="D4171" i="1"/>
  <c r="D4170" i="1"/>
  <c r="D4169" i="1"/>
  <c r="D4168" i="1"/>
  <c r="D4167" i="1"/>
  <c r="D4166" i="1"/>
  <c r="D4165" i="1"/>
  <c r="D4164" i="1"/>
  <c r="D4163" i="1"/>
  <c r="D4162" i="1"/>
  <c r="D4161" i="1"/>
  <c r="D4160" i="1"/>
  <c r="D4159" i="1"/>
  <c r="D4158" i="1"/>
  <c r="D4157" i="1"/>
  <c r="D4156" i="1"/>
  <c r="D4155" i="1"/>
  <c r="D4154" i="1"/>
  <c r="D4153" i="1"/>
  <c r="D4152" i="1"/>
  <c r="D4151" i="1"/>
  <c r="D4150" i="1"/>
  <c r="D4149" i="1"/>
  <c r="D4148" i="1"/>
  <c r="D4147" i="1"/>
  <c r="D4146" i="1"/>
  <c r="D4145" i="1"/>
  <c r="D4144" i="1"/>
  <c r="D4143" i="1"/>
  <c r="D4142" i="1"/>
  <c r="D4141" i="1"/>
  <c r="D4140" i="1"/>
  <c r="D4139" i="1"/>
  <c r="D4138" i="1"/>
  <c r="D4137" i="1"/>
  <c r="D4136" i="1"/>
  <c r="D4135" i="1"/>
  <c r="D4134" i="1"/>
  <c r="D4133" i="1"/>
  <c r="D4132" i="1"/>
  <c r="D4131" i="1"/>
  <c r="D4130" i="1"/>
  <c r="D4129" i="1"/>
  <c r="D4128" i="1"/>
  <c r="D4127" i="1"/>
  <c r="D4126" i="1"/>
  <c r="D4125" i="1"/>
  <c r="D4124" i="1"/>
  <c r="D4123" i="1"/>
  <c r="D4122" i="1"/>
  <c r="D4121" i="1"/>
  <c r="D4120" i="1"/>
  <c r="D4119" i="1"/>
  <c r="D4118" i="1"/>
  <c r="D4117" i="1"/>
  <c r="D4116" i="1"/>
  <c r="D4115" i="1"/>
  <c r="D4114" i="1"/>
  <c r="D4113" i="1"/>
  <c r="D4112" i="1"/>
  <c r="D4111" i="1"/>
  <c r="D4110" i="1"/>
  <c r="D4109" i="1"/>
  <c r="D4108" i="1"/>
  <c r="D4107" i="1"/>
  <c r="D4106" i="1"/>
  <c r="D4105" i="1"/>
  <c r="D4104" i="1"/>
  <c r="D4103" i="1"/>
  <c r="D4102" i="1"/>
  <c r="D4101" i="1"/>
  <c r="D4100" i="1"/>
  <c r="D4099" i="1"/>
  <c r="D4098" i="1"/>
  <c r="D4097" i="1"/>
  <c r="D4096" i="1"/>
  <c r="D4095" i="1"/>
  <c r="D4094" i="1"/>
  <c r="D4093" i="1"/>
  <c r="D4092" i="1"/>
  <c r="D4091" i="1"/>
  <c r="D4090" i="1"/>
  <c r="D4089" i="1"/>
  <c r="D4088" i="1"/>
  <c r="D4087" i="1"/>
  <c r="D4086" i="1"/>
  <c r="D4085" i="1"/>
  <c r="D4084" i="1"/>
  <c r="D4083" i="1"/>
  <c r="D4082" i="1"/>
  <c r="D4081" i="1"/>
  <c r="D4080" i="1"/>
  <c r="D4079" i="1"/>
  <c r="D4078" i="1"/>
  <c r="D4077" i="1"/>
  <c r="D4076" i="1"/>
  <c r="D4075" i="1"/>
  <c r="D4074" i="1"/>
  <c r="D4073" i="1"/>
  <c r="D4072" i="1"/>
  <c r="D4071" i="1"/>
  <c r="D4070" i="1"/>
  <c r="D4069" i="1"/>
  <c r="D4068" i="1"/>
  <c r="D4067" i="1"/>
  <c r="D4066" i="1"/>
  <c r="D4065" i="1"/>
  <c r="D4064" i="1"/>
  <c r="D4063" i="1"/>
  <c r="D4062" i="1"/>
  <c r="D4061" i="1"/>
  <c r="D4060" i="1"/>
  <c r="D4059" i="1"/>
  <c r="D4058" i="1"/>
  <c r="D4057" i="1"/>
  <c r="D4056" i="1"/>
  <c r="D4055" i="1"/>
  <c r="D4054" i="1"/>
  <c r="D4053" i="1"/>
  <c r="D4052" i="1"/>
  <c r="D4051" i="1"/>
  <c r="D4050" i="1"/>
  <c r="D4049" i="1"/>
  <c r="D4048" i="1"/>
  <c r="D4047" i="1"/>
  <c r="D4046" i="1"/>
  <c r="D4045" i="1"/>
  <c r="D4044" i="1"/>
  <c r="D4043" i="1"/>
  <c r="D4042" i="1"/>
  <c r="D4041" i="1"/>
  <c r="D4040" i="1"/>
  <c r="D4039" i="1"/>
  <c r="D4038" i="1"/>
  <c r="D4037" i="1"/>
  <c r="D4036" i="1"/>
  <c r="D4035" i="1"/>
  <c r="D4034" i="1"/>
  <c r="D4033" i="1"/>
  <c r="D4032" i="1"/>
  <c r="D4031" i="1"/>
  <c r="D4030" i="1"/>
  <c r="D4029" i="1"/>
  <c r="D4028" i="1"/>
  <c r="D4027" i="1"/>
  <c r="D4026" i="1"/>
  <c r="D4025" i="1"/>
  <c r="D4024" i="1"/>
  <c r="D4023" i="1"/>
  <c r="D4022" i="1"/>
  <c r="D4021" i="1"/>
  <c r="D4020" i="1"/>
  <c r="D4019" i="1"/>
  <c r="D4018" i="1"/>
  <c r="D4017" i="1"/>
  <c r="D4016" i="1"/>
  <c r="D4015" i="1"/>
  <c r="D4014" i="1"/>
  <c r="D4013" i="1"/>
  <c r="D4012" i="1"/>
  <c r="D4011" i="1"/>
  <c r="D4010" i="1"/>
  <c r="D4009" i="1"/>
  <c r="D4008" i="1"/>
  <c r="D4007" i="1"/>
  <c r="D4006" i="1"/>
  <c r="D4005" i="1"/>
  <c r="D4004" i="1"/>
  <c r="D4003" i="1"/>
  <c r="D4002" i="1"/>
  <c r="D4001" i="1"/>
  <c r="D4000" i="1"/>
  <c r="D3999" i="1"/>
  <c r="D3998" i="1"/>
  <c r="D3997" i="1"/>
  <c r="D3996" i="1"/>
  <c r="D3995" i="1"/>
  <c r="D3994" i="1"/>
  <c r="D3993" i="1"/>
  <c r="D3992" i="1"/>
  <c r="D3991" i="1"/>
  <c r="D3990" i="1"/>
  <c r="D3989" i="1"/>
  <c r="D3988" i="1"/>
  <c r="D3987" i="1"/>
  <c r="D3986" i="1"/>
  <c r="D3985" i="1"/>
  <c r="D3984" i="1"/>
  <c r="D3983" i="1"/>
  <c r="D3982" i="1"/>
  <c r="D3981" i="1"/>
  <c r="D3980" i="1"/>
  <c r="D3979" i="1"/>
  <c r="D3978" i="1"/>
  <c r="D3977" i="1"/>
  <c r="D3976" i="1"/>
  <c r="D3975" i="1"/>
  <c r="D3974" i="1"/>
  <c r="D3973" i="1"/>
  <c r="D3972" i="1"/>
  <c r="D3971" i="1"/>
  <c r="D3970" i="1"/>
  <c r="D3969" i="1"/>
  <c r="D3968" i="1"/>
  <c r="D3967" i="1"/>
  <c r="D3966" i="1"/>
  <c r="D3965" i="1"/>
  <c r="D3964" i="1"/>
  <c r="D3963" i="1"/>
  <c r="D3962" i="1"/>
  <c r="D3961" i="1"/>
  <c r="D3960" i="1"/>
  <c r="D3959" i="1"/>
  <c r="D3958" i="1"/>
  <c r="D3957" i="1"/>
  <c r="D3956" i="1"/>
  <c r="D3955" i="1"/>
  <c r="D3954" i="1"/>
  <c r="D3953" i="1"/>
  <c r="D3952" i="1"/>
  <c r="D3951" i="1"/>
  <c r="D3950" i="1"/>
  <c r="D3949" i="1"/>
  <c r="D3948" i="1"/>
  <c r="D3947" i="1"/>
  <c r="D3946" i="1"/>
  <c r="D3945" i="1"/>
  <c r="D3944" i="1"/>
  <c r="D3943" i="1"/>
  <c r="D3942" i="1"/>
  <c r="D3941" i="1"/>
  <c r="D3940" i="1"/>
  <c r="D3939" i="1"/>
  <c r="D3938" i="1"/>
  <c r="D3937" i="1"/>
  <c r="D3936" i="1"/>
  <c r="D3935" i="1"/>
  <c r="D3934" i="1"/>
  <c r="D3933" i="1"/>
  <c r="D3932" i="1"/>
  <c r="D3931" i="1"/>
  <c r="D3930" i="1"/>
  <c r="D3929" i="1"/>
  <c r="D3928" i="1"/>
  <c r="D3927" i="1"/>
  <c r="D3926" i="1"/>
  <c r="D3925" i="1"/>
  <c r="D3924" i="1"/>
  <c r="D3923" i="1"/>
  <c r="D3922" i="1"/>
  <c r="D3921" i="1"/>
  <c r="D3920" i="1"/>
  <c r="D3919" i="1"/>
  <c r="D3918" i="1"/>
  <c r="D3917" i="1"/>
  <c r="D3916" i="1"/>
  <c r="D3915" i="1"/>
  <c r="D3914" i="1"/>
  <c r="D3913" i="1"/>
  <c r="D3912" i="1"/>
  <c r="D3911" i="1"/>
  <c r="D3910" i="1"/>
  <c r="D3909" i="1"/>
  <c r="D3908" i="1"/>
  <c r="D3907" i="1"/>
  <c r="D3906" i="1"/>
  <c r="D3905" i="1"/>
  <c r="D3904" i="1"/>
  <c r="D3903" i="1"/>
  <c r="D3902" i="1"/>
  <c r="D3901" i="1"/>
  <c r="D3900" i="1"/>
  <c r="D3899" i="1"/>
  <c r="D3898" i="1"/>
  <c r="D3897" i="1"/>
  <c r="D3896" i="1"/>
  <c r="D3895" i="1"/>
  <c r="D3894" i="1"/>
  <c r="D3893" i="1"/>
  <c r="D3892" i="1"/>
  <c r="D3891" i="1"/>
  <c r="D3890" i="1"/>
  <c r="D3889" i="1"/>
  <c r="D3888" i="1"/>
  <c r="D3887" i="1"/>
  <c r="D3886" i="1"/>
  <c r="D3885" i="1"/>
  <c r="D3884" i="1"/>
  <c r="D3883" i="1"/>
  <c r="D3882" i="1"/>
  <c r="D3881" i="1"/>
  <c r="D3880" i="1"/>
  <c r="D3879" i="1"/>
  <c r="D3878" i="1"/>
  <c r="D3877" i="1"/>
  <c r="D3876" i="1"/>
  <c r="D3875" i="1"/>
  <c r="D3874" i="1"/>
  <c r="D3873" i="1"/>
  <c r="D3872" i="1"/>
  <c r="D3871" i="1"/>
  <c r="D3870" i="1"/>
  <c r="D3869" i="1"/>
  <c r="D3868" i="1"/>
  <c r="D3867" i="1"/>
  <c r="D3866" i="1"/>
  <c r="D3865" i="1"/>
  <c r="D3864" i="1"/>
  <c r="D3863" i="1"/>
  <c r="D3862" i="1"/>
  <c r="D3861" i="1"/>
  <c r="D3860" i="1"/>
  <c r="D3859" i="1"/>
  <c r="D3858" i="1"/>
  <c r="D3857" i="1"/>
  <c r="D3856" i="1"/>
  <c r="D3855" i="1"/>
  <c r="D3854" i="1"/>
  <c r="D3853" i="1"/>
  <c r="D3852" i="1"/>
  <c r="D3851" i="1"/>
  <c r="D3850" i="1"/>
  <c r="D3849" i="1"/>
  <c r="D3848" i="1"/>
  <c r="D3847" i="1"/>
  <c r="D3846" i="1"/>
  <c r="D3845" i="1"/>
  <c r="D3844" i="1"/>
  <c r="D3843" i="1"/>
  <c r="D3842" i="1"/>
  <c r="D3841" i="1"/>
  <c r="D3840" i="1"/>
  <c r="D3839" i="1"/>
  <c r="D3838" i="1"/>
  <c r="D3837" i="1"/>
  <c r="D3836" i="1"/>
  <c r="D3835" i="1"/>
  <c r="D3834" i="1"/>
  <c r="D3833" i="1"/>
  <c r="D3832" i="1"/>
  <c r="D3831" i="1"/>
  <c r="D3830" i="1"/>
  <c r="D3829" i="1"/>
  <c r="D3828" i="1"/>
  <c r="D3827" i="1"/>
  <c r="D3826" i="1"/>
  <c r="D3825" i="1"/>
  <c r="D3824" i="1"/>
  <c r="D3823" i="1"/>
  <c r="D3822" i="1"/>
  <c r="D3821" i="1"/>
  <c r="D3820" i="1"/>
  <c r="D3819" i="1"/>
  <c r="D3818" i="1"/>
  <c r="D3817" i="1"/>
  <c r="D3816" i="1"/>
  <c r="D3815" i="1"/>
  <c r="D3814" i="1"/>
  <c r="D3813" i="1"/>
  <c r="D3812" i="1"/>
  <c r="D3811" i="1"/>
  <c r="D3810" i="1"/>
  <c r="D3809" i="1"/>
  <c r="D3808" i="1"/>
  <c r="D3807" i="1"/>
  <c r="D3806" i="1"/>
  <c r="D3805" i="1"/>
  <c r="D3804" i="1"/>
  <c r="D3803" i="1"/>
  <c r="D3802" i="1"/>
  <c r="D3801" i="1"/>
  <c r="D3800" i="1"/>
  <c r="D3799" i="1"/>
  <c r="D3798" i="1"/>
  <c r="D3797" i="1"/>
  <c r="D3796" i="1"/>
  <c r="D3795" i="1"/>
  <c r="D3794" i="1"/>
  <c r="D3793" i="1"/>
  <c r="D3792" i="1"/>
  <c r="D3791" i="1"/>
  <c r="D3790" i="1"/>
  <c r="D3789" i="1"/>
  <c r="D3788" i="1"/>
  <c r="D3787" i="1"/>
  <c r="D3786" i="1"/>
  <c r="D3785" i="1"/>
  <c r="D3784" i="1"/>
  <c r="D3783" i="1"/>
  <c r="D3782" i="1"/>
  <c r="D3781" i="1"/>
  <c r="D3780" i="1"/>
  <c r="D3779" i="1"/>
  <c r="D3778" i="1"/>
  <c r="D3777" i="1"/>
  <c r="D3776" i="1"/>
  <c r="D3775" i="1"/>
  <c r="D3774" i="1"/>
  <c r="D3773" i="1"/>
  <c r="D3772" i="1"/>
  <c r="D3771" i="1"/>
  <c r="D3770" i="1"/>
  <c r="D3769" i="1"/>
  <c r="D3768" i="1"/>
  <c r="D3767" i="1"/>
  <c r="D3766" i="1"/>
  <c r="D3765" i="1"/>
  <c r="D3764" i="1"/>
  <c r="D3763" i="1"/>
  <c r="D3762" i="1"/>
  <c r="D3761" i="1"/>
  <c r="D3760" i="1"/>
  <c r="D3759" i="1"/>
  <c r="D3758" i="1"/>
  <c r="D3757" i="1"/>
  <c r="D3756" i="1"/>
  <c r="D3755" i="1"/>
  <c r="D3754" i="1"/>
  <c r="D3753" i="1"/>
  <c r="D3752" i="1"/>
  <c r="D3751" i="1"/>
  <c r="D3750" i="1"/>
  <c r="D3749" i="1"/>
  <c r="D3748" i="1"/>
  <c r="D3747" i="1"/>
  <c r="D3746" i="1"/>
  <c r="D3745" i="1"/>
  <c r="D3744" i="1"/>
  <c r="D3743" i="1"/>
  <c r="D3742" i="1"/>
  <c r="D3741" i="1"/>
  <c r="D3740" i="1"/>
  <c r="D3739" i="1"/>
  <c r="D3738" i="1"/>
  <c r="D3737" i="1"/>
  <c r="D3736" i="1"/>
  <c r="D3735" i="1"/>
  <c r="D3734" i="1"/>
  <c r="D3733" i="1"/>
  <c r="D3732" i="1"/>
  <c r="D3731" i="1"/>
  <c r="D3730" i="1"/>
  <c r="D3729" i="1"/>
  <c r="D3728" i="1"/>
  <c r="D3727" i="1"/>
  <c r="D3726" i="1"/>
  <c r="D3725" i="1"/>
  <c r="D3724" i="1"/>
  <c r="D3723" i="1"/>
  <c r="D3722" i="1"/>
  <c r="D3721" i="1"/>
  <c r="D3720" i="1"/>
  <c r="D3719" i="1"/>
  <c r="D3718" i="1"/>
  <c r="D3717" i="1"/>
  <c r="D3716" i="1"/>
  <c r="D3715" i="1"/>
  <c r="D3714" i="1"/>
  <c r="D3713" i="1"/>
  <c r="D3712" i="1"/>
  <c r="D3711" i="1"/>
  <c r="D3710" i="1"/>
  <c r="D3709" i="1"/>
  <c r="D3708" i="1"/>
  <c r="D3707" i="1"/>
  <c r="D3706" i="1"/>
  <c r="D3705" i="1"/>
  <c r="D3704" i="1"/>
  <c r="D3703" i="1"/>
  <c r="D3702" i="1"/>
  <c r="D3701" i="1"/>
  <c r="D3700" i="1"/>
  <c r="D3699" i="1"/>
  <c r="D3698" i="1"/>
  <c r="D3697" i="1"/>
  <c r="D3696" i="1"/>
  <c r="D3695" i="1"/>
  <c r="D3694" i="1"/>
  <c r="D3693" i="1"/>
  <c r="D3692" i="1"/>
  <c r="D3691" i="1"/>
  <c r="D3690" i="1"/>
  <c r="D3689" i="1"/>
  <c r="D3688" i="1"/>
  <c r="D3687" i="1"/>
  <c r="D3686" i="1"/>
  <c r="D3685" i="1"/>
  <c r="D3684" i="1"/>
  <c r="D3683" i="1"/>
  <c r="D3682" i="1"/>
  <c r="D3681" i="1"/>
  <c r="D3680" i="1"/>
  <c r="D3679" i="1"/>
  <c r="D3678" i="1"/>
  <c r="D3677" i="1"/>
  <c r="D3676" i="1"/>
  <c r="D3675" i="1"/>
  <c r="D3674" i="1"/>
  <c r="D3673" i="1"/>
  <c r="D3672" i="1"/>
  <c r="D3671" i="1"/>
  <c r="D3670" i="1"/>
  <c r="D3669" i="1"/>
  <c r="D3668" i="1"/>
  <c r="D3667" i="1"/>
  <c r="D3666" i="1"/>
  <c r="D3665" i="1"/>
  <c r="D3664" i="1"/>
  <c r="D3663" i="1"/>
  <c r="D3662" i="1"/>
  <c r="D3661" i="1"/>
  <c r="D3660" i="1"/>
  <c r="D3659" i="1"/>
  <c r="D3658" i="1"/>
  <c r="D3657" i="1"/>
  <c r="D3656" i="1"/>
  <c r="D3655" i="1"/>
  <c r="D3654" i="1"/>
  <c r="D3653" i="1"/>
  <c r="D3652" i="1"/>
  <c r="D3651" i="1"/>
  <c r="D3650" i="1"/>
  <c r="D3649" i="1"/>
  <c r="D3648" i="1"/>
  <c r="D3647" i="1"/>
  <c r="D3646" i="1"/>
  <c r="D3645" i="1"/>
  <c r="D3644" i="1"/>
  <c r="D3643" i="1"/>
  <c r="D3642" i="1"/>
  <c r="D3641" i="1"/>
  <c r="D3640" i="1"/>
  <c r="D3639" i="1"/>
  <c r="D3638" i="1"/>
  <c r="D3637" i="1"/>
  <c r="D3636" i="1"/>
  <c r="D3635" i="1"/>
  <c r="D3634" i="1"/>
  <c r="D3633" i="1"/>
  <c r="D3632" i="1"/>
  <c r="D3631" i="1"/>
  <c r="D3630" i="1"/>
  <c r="D3629" i="1"/>
  <c r="D3628" i="1"/>
  <c r="D3627" i="1"/>
  <c r="D3626" i="1"/>
  <c r="D3625" i="1"/>
  <c r="D3624" i="1"/>
  <c r="D3623" i="1"/>
  <c r="D3622" i="1"/>
  <c r="D3621" i="1"/>
  <c r="D3620" i="1"/>
  <c r="D3619" i="1"/>
  <c r="D3618" i="1"/>
  <c r="D3617" i="1"/>
  <c r="D3616" i="1"/>
  <c r="D3615" i="1"/>
  <c r="D3614" i="1"/>
  <c r="D3613" i="1"/>
  <c r="D3612" i="1"/>
  <c r="D3611" i="1"/>
  <c r="D3610" i="1"/>
  <c r="D3609" i="1"/>
  <c r="D3608" i="1"/>
  <c r="D3607" i="1"/>
  <c r="D3606" i="1"/>
  <c r="D3605" i="1"/>
  <c r="D3604" i="1"/>
  <c r="D3603" i="1"/>
  <c r="D3602" i="1"/>
  <c r="D3601" i="1"/>
  <c r="D3600" i="1"/>
  <c r="D3599" i="1"/>
  <c r="D3598" i="1"/>
  <c r="D3597" i="1"/>
  <c r="D3596" i="1"/>
  <c r="D3595" i="1"/>
  <c r="D3594" i="1"/>
  <c r="D3593" i="1"/>
  <c r="D3592" i="1"/>
  <c r="D3591" i="1"/>
  <c r="D3590" i="1"/>
  <c r="D3589" i="1"/>
  <c r="D3588" i="1"/>
  <c r="D3587" i="1"/>
  <c r="D3586" i="1"/>
  <c r="D3585" i="1"/>
  <c r="D3584" i="1"/>
  <c r="D3583" i="1"/>
  <c r="D3582" i="1"/>
  <c r="D3581" i="1"/>
  <c r="D3580" i="1"/>
  <c r="D3579" i="1"/>
  <c r="D3578" i="1"/>
  <c r="D3577" i="1"/>
  <c r="D3576" i="1"/>
  <c r="D3575" i="1"/>
  <c r="D3574" i="1"/>
  <c r="D3573" i="1"/>
  <c r="D3572" i="1"/>
  <c r="D3571" i="1"/>
  <c r="D3570" i="1"/>
  <c r="D3569" i="1"/>
  <c r="D3568" i="1"/>
  <c r="D3567" i="1"/>
  <c r="D3566" i="1"/>
  <c r="D3565" i="1"/>
  <c r="D3564" i="1"/>
  <c r="D3563" i="1"/>
  <c r="D3562" i="1"/>
  <c r="D3561" i="1"/>
  <c r="D3560" i="1"/>
  <c r="D3559" i="1"/>
  <c r="D3558" i="1"/>
  <c r="D3557" i="1"/>
  <c r="D3556" i="1"/>
  <c r="D3555" i="1"/>
  <c r="D3554" i="1"/>
  <c r="D3553" i="1"/>
  <c r="D3552" i="1"/>
  <c r="D3551" i="1"/>
  <c r="D3550" i="1"/>
  <c r="D3549" i="1"/>
  <c r="D3548" i="1"/>
  <c r="D3547" i="1"/>
  <c r="D3546" i="1"/>
  <c r="D3545" i="1"/>
  <c r="D3544" i="1"/>
  <c r="D3543" i="1"/>
  <c r="D3542" i="1"/>
  <c r="D3541" i="1"/>
  <c r="D3540" i="1"/>
  <c r="D3539" i="1"/>
  <c r="D3538" i="1"/>
  <c r="D3537" i="1"/>
  <c r="D3536" i="1"/>
  <c r="D3535" i="1"/>
  <c r="D3534" i="1"/>
  <c r="D3533" i="1"/>
  <c r="D3532" i="1"/>
  <c r="D3531" i="1"/>
  <c r="D3530" i="1"/>
  <c r="D3529" i="1"/>
  <c r="D3528" i="1"/>
  <c r="D3527" i="1"/>
  <c r="D3526" i="1"/>
  <c r="D3525" i="1"/>
  <c r="D3524" i="1"/>
  <c r="D3523" i="1"/>
  <c r="D3522" i="1"/>
  <c r="D3521" i="1"/>
  <c r="D3520" i="1"/>
  <c r="D3519" i="1"/>
  <c r="D3518" i="1"/>
  <c r="D3517" i="1"/>
  <c r="D3516" i="1"/>
  <c r="D3515" i="1"/>
  <c r="D3514" i="1"/>
  <c r="D3513" i="1"/>
  <c r="D3512" i="1"/>
  <c r="D3511" i="1"/>
  <c r="D3510" i="1"/>
  <c r="D3509" i="1"/>
  <c r="D3508" i="1"/>
  <c r="D3507" i="1"/>
  <c r="D3506" i="1"/>
  <c r="D3505" i="1"/>
  <c r="D3504" i="1"/>
  <c r="D3503" i="1"/>
  <c r="D3502" i="1"/>
  <c r="D3501" i="1"/>
  <c r="D3500" i="1"/>
  <c r="D3499" i="1"/>
  <c r="D3498" i="1"/>
  <c r="D3497" i="1"/>
  <c r="D3496" i="1"/>
  <c r="D3495" i="1"/>
  <c r="D3494" i="1"/>
  <c r="D3493" i="1"/>
  <c r="D3492" i="1"/>
  <c r="D3491" i="1"/>
  <c r="D3490" i="1"/>
  <c r="D3489" i="1"/>
  <c r="D3488" i="1"/>
  <c r="D3487" i="1"/>
  <c r="D3486" i="1"/>
  <c r="D3485" i="1"/>
  <c r="D3484" i="1"/>
  <c r="D3483" i="1"/>
  <c r="D3482" i="1"/>
  <c r="D3481" i="1"/>
  <c r="D3480" i="1"/>
  <c r="D3479" i="1"/>
  <c r="D3478" i="1"/>
  <c r="D3477" i="1"/>
  <c r="D3476" i="1"/>
  <c r="D3475" i="1"/>
  <c r="D3474" i="1"/>
  <c r="D3473" i="1"/>
  <c r="D3472" i="1"/>
  <c r="D3471" i="1"/>
  <c r="D3470" i="1"/>
  <c r="D3469" i="1"/>
  <c r="D3468" i="1"/>
  <c r="D3467" i="1"/>
  <c r="D3466" i="1"/>
  <c r="D3465" i="1"/>
  <c r="D3464" i="1"/>
  <c r="D3463" i="1"/>
  <c r="D3462" i="1"/>
  <c r="D3461" i="1"/>
  <c r="D3460" i="1"/>
  <c r="D3459" i="1"/>
  <c r="D3458" i="1"/>
  <c r="D3457" i="1"/>
  <c r="D3456" i="1"/>
  <c r="D3455" i="1"/>
  <c r="D3454" i="1"/>
  <c r="D3453" i="1"/>
  <c r="D3452" i="1"/>
  <c r="D3451" i="1"/>
  <c r="D3450" i="1"/>
  <c r="D3449" i="1"/>
  <c r="D3448" i="1"/>
  <c r="D3447" i="1"/>
  <c r="D3446" i="1"/>
  <c r="D3445" i="1"/>
  <c r="D3444" i="1"/>
  <c r="D3443" i="1"/>
  <c r="D3442" i="1"/>
  <c r="D3441" i="1"/>
  <c r="D3440" i="1"/>
  <c r="D3439" i="1"/>
  <c r="D3438" i="1"/>
  <c r="D3437" i="1"/>
  <c r="D3436" i="1"/>
  <c r="D3435" i="1"/>
  <c r="D3434" i="1"/>
  <c r="D3433" i="1"/>
  <c r="D3432" i="1"/>
  <c r="D3431" i="1"/>
  <c r="D3430" i="1"/>
  <c r="D3429" i="1"/>
  <c r="D3428" i="1"/>
  <c r="D3427" i="1"/>
  <c r="D3426" i="1"/>
  <c r="D3425" i="1"/>
  <c r="D3424" i="1"/>
  <c r="D3423" i="1"/>
  <c r="D3422" i="1"/>
  <c r="D3241" i="1"/>
  <c r="D3240" i="1"/>
  <c r="D3239" i="1"/>
  <c r="D3238" i="1"/>
  <c r="D3237" i="1"/>
  <c r="D3236" i="1"/>
  <c r="D3235" i="1"/>
  <c r="D3234" i="1"/>
  <c r="D3233" i="1"/>
  <c r="D3232" i="1"/>
  <c r="D3231" i="1"/>
  <c r="D3230" i="1"/>
  <c r="D3229" i="1"/>
  <c r="D3228" i="1"/>
  <c r="D3227" i="1"/>
  <c r="D3226" i="1"/>
  <c r="D3225" i="1"/>
  <c r="D3224" i="1"/>
  <c r="D3223" i="1"/>
  <c r="D3222" i="1"/>
  <c r="D3221" i="1"/>
  <c r="D3220" i="1"/>
  <c r="D3219" i="1"/>
  <c r="D3218" i="1"/>
  <c r="D3217" i="1"/>
  <c r="D3216" i="1"/>
  <c r="D3215" i="1"/>
  <c r="D3214" i="1"/>
  <c r="D3213" i="1"/>
  <c r="D3212" i="1"/>
  <c r="D3211" i="1"/>
  <c r="D3210" i="1"/>
  <c r="D3209" i="1"/>
  <c r="D3208" i="1"/>
  <c r="D3207" i="1"/>
  <c r="D3206" i="1"/>
  <c r="D3205" i="1"/>
  <c r="D3204" i="1"/>
  <c r="D3203" i="1"/>
  <c r="D3202" i="1"/>
  <c r="D3201" i="1"/>
  <c r="D3200" i="1"/>
  <c r="D3199" i="1"/>
  <c r="D3198" i="1"/>
  <c r="D3197" i="1"/>
  <c r="D3196" i="1"/>
  <c r="D3195" i="1"/>
  <c r="D3194" i="1"/>
  <c r="D3193" i="1"/>
  <c r="D3192" i="1"/>
  <c r="D3191" i="1"/>
  <c r="D3190" i="1"/>
  <c r="D3189" i="1"/>
  <c r="D3188" i="1"/>
  <c r="D3187" i="1"/>
  <c r="D3186" i="1"/>
  <c r="D3185" i="1"/>
  <c r="D3184" i="1"/>
  <c r="D3183" i="1"/>
  <c r="D3182" i="1"/>
  <c r="D3181" i="1"/>
  <c r="D3180" i="1"/>
  <c r="D3179" i="1"/>
  <c r="D3178" i="1"/>
  <c r="D3177" i="1"/>
  <c r="D3176" i="1"/>
  <c r="D3175" i="1"/>
  <c r="D3174" i="1"/>
  <c r="D3173" i="1"/>
  <c r="D3172" i="1"/>
  <c r="D3171" i="1"/>
  <c r="D3170" i="1"/>
  <c r="D3169" i="1"/>
  <c r="D3168" i="1"/>
  <c r="D3167" i="1"/>
  <c r="D3166" i="1"/>
  <c r="D3165" i="1"/>
  <c r="D3164" i="1"/>
  <c r="D3163" i="1"/>
  <c r="D3162" i="1"/>
  <c r="D3161" i="1"/>
  <c r="D3160" i="1"/>
  <c r="D3159" i="1"/>
  <c r="D3158" i="1"/>
  <c r="D3157" i="1"/>
  <c r="D3156" i="1"/>
  <c r="D3155" i="1"/>
  <c r="D3154" i="1"/>
  <c r="D3153" i="1"/>
  <c r="D3152" i="1"/>
  <c r="D3151" i="1"/>
  <c r="D3150" i="1"/>
  <c r="D3149" i="1"/>
  <c r="D3148" i="1"/>
  <c r="D3147" i="1"/>
  <c r="D3146" i="1"/>
  <c r="D3145" i="1"/>
  <c r="D3144" i="1"/>
  <c r="D3143" i="1"/>
  <c r="D3142" i="1"/>
  <c r="D3141" i="1"/>
  <c r="D3140" i="1"/>
  <c r="D3139" i="1"/>
  <c r="D3138" i="1"/>
  <c r="D3137" i="1"/>
  <c r="D3136" i="1"/>
  <c r="D3135" i="1"/>
  <c r="D3134" i="1"/>
  <c r="D3133" i="1"/>
  <c r="D3132" i="1"/>
  <c r="D3131" i="1"/>
  <c r="D3130" i="1"/>
  <c r="D3129" i="1"/>
  <c r="D3128" i="1"/>
  <c r="D3127" i="1"/>
  <c r="D3126" i="1"/>
  <c r="D3125" i="1"/>
  <c r="D3124" i="1"/>
  <c r="D3123" i="1"/>
  <c r="D3122" i="1"/>
  <c r="D3121" i="1"/>
  <c r="D3120" i="1"/>
  <c r="D3119" i="1"/>
  <c r="D3118" i="1"/>
  <c r="D3117" i="1"/>
  <c r="D3116" i="1"/>
  <c r="D3115" i="1"/>
  <c r="D3114" i="1"/>
  <c r="D3113" i="1"/>
  <c r="D3112" i="1"/>
  <c r="D3111" i="1"/>
  <c r="D3110" i="1"/>
  <c r="D3109" i="1"/>
  <c r="D3108" i="1"/>
  <c r="D3107" i="1"/>
  <c r="D3106" i="1"/>
  <c r="D3105" i="1"/>
  <c r="D3104" i="1"/>
  <c r="D3103" i="1"/>
  <c r="D3102" i="1"/>
  <c r="D3101" i="1"/>
  <c r="D3100" i="1"/>
  <c r="D3099" i="1"/>
  <c r="D3098" i="1"/>
  <c r="D3097" i="1"/>
  <c r="D3096" i="1"/>
  <c r="D3095" i="1"/>
  <c r="D3094" i="1"/>
  <c r="D3093" i="1"/>
  <c r="D3092" i="1"/>
  <c r="D3091" i="1"/>
  <c r="D3090" i="1"/>
  <c r="D3089" i="1"/>
  <c r="D3088" i="1"/>
  <c r="D3087" i="1"/>
  <c r="D3086" i="1"/>
  <c r="D3085" i="1"/>
  <c r="D3084" i="1"/>
  <c r="D3083" i="1"/>
  <c r="D3082" i="1"/>
  <c r="D3081" i="1"/>
  <c r="D3080" i="1"/>
  <c r="D3079" i="1"/>
  <c r="D3078" i="1"/>
  <c r="D3077" i="1"/>
  <c r="D3076" i="1"/>
  <c r="D3075" i="1"/>
  <c r="D3074" i="1"/>
  <c r="D3073" i="1"/>
  <c r="D3072" i="1"/>
  <c r="D3071" i="1"/>
  <c r="D3070" i="1"/>
  <c r="D3069" i="1"/>
  <c r="D3068" i="1"/>
  <c r="D3067" i="1"/>
  <c r="D3066" i="1"/>
  <c r="D3065" i="1"/>
  <c r="D3064" i="1"/>
  <c r="D3063" i="1"/>
  <c r="D3062" i="1"/>
  <c r="D3061" i="1"/>
  <c r="D3060" i="1"/>
  <c r="D3059" i="1"/>
  <c r="D3058" i="1"/>
  <c r="D3057" i="1"/>
  <c r="D3056" i="1"/>
  <c r="D3055" i="1"/>
  <c r="D3054" i="1"/>
  <c r="D3053" i="1"/>
  <c r="D3052" i="1"/>
  <c r="D3051" i="1"/>
  <c r="D3050" i="1"/>
  <c r="D3049" i="1"/>
  <c r="D3048" i="1"/>
  <c r="D3047" i="1"/>
  <c r="D3046" i="1"/>
  <c r="D3045" i="1"/>
  <c r="D3044" i="1"/>
  <c r="D3043" i="1"/>
  <c r="D3042" i="1"/>
  <c r="D3041" i="1"/>
  <c r="D3040" i="1"/>
  <c r="D3039" i="1"/>
  <c r="D3038" i="1"/>
  <c r="D3037" i="1"/>
  <c r="D3036" i="1"/>
  <c r="D3035" i="1"/>
  <c r="D3034" i="1"/>
  <c r="D3033" i="1"/>
  <c r="D3032" i="1"/>
  <c r="D3031" i="1"/>
  <c r="D3030" i="1"/>
  <c r="D3029" i="1"/>
  <c r="D3028" i="1"/>
  <c r="D3027" i="1"/>
  <c r="D3026" i="1"/>
  <c r="D3025" i="1"/>
  <c r="D3024" i="1"/>
  <c r="D3023" i="1"/>
  <c r="D3022" i="1"/>
  <c r="D3021" i="1"/>
  <c r="D3020" i="1"/>
  <c r="D3019" i="1"/>
  <c r="D3018" i="1"/>
  <c r="D3017" i="1"/>
  <c r="D3016" i="1"/>
  <c r="D3015" i="1"/>
  <c r="D3014" i="1"/>
  <c r="D3013" i="1"/>
  <c r="D3012" i="1"/>
  <c r="D3011" i="1"/>
  <c r="D3010" i="1"/>
  <c r="D3009" i="1"/>
  <c r="D3008" i="1"/>
  <c r="D3007" i="1"/>
  <c r="D3006" i="1"/>
  <c r="D3005" i="1"/>
  <c r="D3004" i="1"/>
  <c r="D3003" i="1"/>
  <c r="D3002" i="1"/>
  <c r="D3001" i="1"/>
  <c r="D3000" i="1"/>
  <c r="D2999" i="1"/>
  <c r="D2998" i="1"/>
  <c r="D2997" i="1"/>
  <c r="D2996" i="1"/>
  <c r="D2995" i="1"/>
  <c r="D2994" i="1"/>
  <c r="D2993" i="1"/>
  <c r="D2992" i="1"/>
  <c r="D2991" i="1"/>
  <c r="D2990" i="1"/>
  <c r="D2989" i="1"/>
  <c r="D2988" i="1"/>
  <c r="D2987" i="1"/>
  <c r="D2986" i="1"/>
  <c r="D2985" i="1"/>
  <c r="D2984" i="1"/>
  <c r="D2983" i="1"/>
  <c r="D2982" i="1"/>
  <c r="D2981" i="1"/>
  <c r="D2980" i="1"/>
  <c r="D2979" i="1"/>
  <c r="D2978" i="1"/>
  <c r="D2977" i="1"/>
  <c r="D2976" i="1"/>
  <c r="D2975" i="1"/>
  <c r="D2974" i="1"/>
  <c r="D2973" i="1"/>
  <c r="D2972" i="1"/>
  <c r="D2971" i="1"/>
  <c r="D2970" i="1"/>
  <c r="D2969" i="1"/>
  <c r="D2968" i="1"/>
  <c r="D2967" i="1"/>
  <c r="D2966" i="1"/>
  <c r="D2965" i="1"/>
  <c r="D2964" i="1"/>
  <c r="D2963" i="1"/>
  <c r="D2962" i="1"/>
  <c r="D2961" i="1"/>
  <c r="D2960" i="1"/>
  <c r="D2959" i="1"/>
  <c r="D2958" i="1"/>
  <c r="D2957" i="1"/>
  <c r="D2956" i="1"/>
  <c r="D2955" i="1"/>
  <c r="D2954" i="1"/>
  <c r="D2953" i="1"/>
  <c r="D2952" i="1"/>
  <c r="D2951" i="1"/>
  <c r="D2950" i="1"/>
  <c r="D2949" i="1"/>
  <c r="D2948" i="1"/>
  <c r="D2947" i="1"/>
  <c r="D2946" i="1"/>
  <c r="D2945" i="1"/>
  <c r="D2944" i="1"/>
  <c r="D2943" i="1"/>
  <c r="D2942" i="1"/>
  <c r="D2941" i="1"/>
  <c r="D2940" i="1"/>
  <c r="D2939" i="1"/>
  <c r="D2938" i="1"/>
  <c r="D2937" i="1"/>
  <c r="D2936" i="1"/>
  <c r="D2935" i="1"/>
  <c r="D2934" i="1"/>
  <c r="D2933" i="1"/>
  <c r="D2932" i="1"/>
  <c r="D2931" i="1"/>
  <c r="D2930" i="1"/>
  <c r="D2929" i="1"/>
  <c r="D2928" i="1"/>
  <c r="D2927" i="1"/>
  <c r="D2926" i="1"/>
  <c r="D2925" i="1"/>
  <c r="D2924" i="1"/>
  <c r="D2923" i="1"/>
  <c r="D2922" i="1"/>
  <c r="D2921" i="1"/>
  <c r="D2920" i="1"/>
  <c r="D2919" i="1"/>
  <c r="D2918" i="1"/>
  <c r="D2917" i="1"/>
  <c r="D2916" i="1"/>
  <c r="D2915" i="1"/>
  <c r="D2914" i="1"/>
  <c r="D2913" i="1"/>
  <c r="D2912" i="1"/>
  <c r="D2911" i="1"/>
  <c r="D2910" i="1"/>
  <c r="D2909" i="1"/>
  <c r="D2908" i="1"/>
  <c r="D2907" i="1"/>
  <c r="D2906" i="1"/>
  <c r="D2905" i="1"/>
  <c r="D2904" i="1"/>
  <c r="D2903" i="1"/>
  <c r="D2902" i="1"/>
  <c r="D2901" i="1"/>
  <c r="D2900" i="1"/>
  <c r="D2899" i="1"/>
  <c r="D2898" i="1"/>
  <c r="D2897" i="1"/>
  <c r="D2896" i="1"/>
  <c r="D2895" i="1"/>
  <c r="D2894" i="1"/>
  <c r="D2893" i="1"/>
  <c r="D2892" i="1"/>
  <c r="D2891" i="1"/>
  <c r="D2890" i="1"/>
  <c r="D2889" i="1"/>
  <c r="D2888" i="1"/>
  <c r="D2887" i="1"/>
  <c r="D2886" i="1"/>
  <c r="D2885" i="1"/>
  <c r="D2884" i="1"/>
  <c r="D2883" i="1"/>
  <c r="D2882" i="1"/>
  <c r="C1801" i="1"/>
  <c r="C1800" i="1"/>
  <c r="C1799" i="1"/>
  <c r="C1798" i="1"/>
  <c r="C1797" i="1"/>
  <c r="C1796" i="1"/>
  <c r="C1795" i="1"/>
  <c r="C1794" i="1"/>
  <c r="C1793" i="1"/>
  <c r="C1792" i="1"/>
  <c r="C1791" i="1"/>
  <c r="C1790" i="1"/>
  <c r="C1789" i="1"/>
  <c r="C1788" i="1"/>
  <c r="C1787" i="1"/>
  <c r="C1786" i="1"/>
  <c r="C1785" i="1"/>
  <c r="C1784" i="1"/>
  <c r="C1783" i="1"/>
  <c r="C1782" i="1"/>
  <c r="C1781" i="1"/>
  <c r="C1780" i="1"/>
  <c r="C1779" i="1"/>
  <c r="C1778" i="1"/>
  <c r="C1777" i="1"/>
  <c r="C1776" i="1"/>
  <c r="C1775" i="1"/>
  <c r="C1774" i="1"/>
  <c r="C1773" i="1"/>
  <c r="C1772" i="1"/>
  <c r="C1771" i="1"/>
  <c r="C1770" i="1"/>
  <c r="C1769" i="1"/>
  <c r="C1768" i="1"/>
  <c r="C1767" i="1"/>
  <c r="C1766" i="1"/>
  <c r="C1765" i="1"/>
  <c r="C1764" i="1"/>
  <c r="C1763" i="1"/>
  <c r="C1762" i="1"/>
  <c r="C1761" i="1"/>
  <c r="C1760" i="1"/>
  <c r="C1759" i="1"/>
  <c r="C1758" i="1"/>
  <c r="C1757" i="1"/>
  <c r="C1756" i="1"/>
  <c r="C1755" i="1"/>
  <c r="C1754" i="1"/>
  <c r="C1753" i="1"/>
  <c r="C1752" i="1"/>
  <c r="C1751" i="1"/>
  <c r="C1750" i="1"/>
  <c r="C1749" i="1"/>
  <c r="C1748" i="1"/>
  <c r="C1747" i="1"/>
  <c r="C1746" i="1"/>
  <c r="C1745" i="1"/>
  <c r="C1744" i="1"/>
  <c r="C1743" i="1"/>
  <c r="C1742" i="1"/>
  <c r="C1741" i="1"/>
  <c r="C1740" i="1"/>
  <c r="C1739" i="1"/>
  <c r="C1738" i="1"/>
  <c r="C1737" i="1"/>
  <c r="C1736" i="1"/>
  <c r="C1735" i="1"/>
  <c r="C1734" i="1"/>
  <c r="C1733" i="1"/>
  <c r="C1732" i="1"/>
  <c r="C1731" i="1"/>
  <c r="C1730" i="1"/>
  <c r="C1729" i="1"/>
  <c r="C1728" i="1"/>
  <c r="C1727" i="1"/>
  <c r="C1726" i="1"/>
  <c r="C1725" i="1"/>
  <c r="C1724" i="1"/>
  <c r="C1723" i="1"/>
  <c r="C1722" i="1"/>
  <c r="C1721" i="1"/>
  <c r="C1720" i="1"/>
  <c r="C1719" i="1"/>
  <c r="C1718" i="1"/>
  <c r="C1717" i="1"/>
  <c r="C1716" i="1"/>
  <c r="C1715" i="1"/>
  <c r="C1714" i="1"/>
  <c r="C1713" i="1"/>
  <c r="C1712" i="1"/>
  <c r="C1711" i="1"/>
  <c r="C1710" i="1"/>
  <c r="C1709" i="1"/>
  <c r="C1708" i="1"/>
  <c r="C1707" i="1"/>
  <c r="C1706" i="1"/>
  <c r="C1705" i="1"/>
  <c r="C1704" i="1"/>
  <c r="C1703" i="1"/>
  <c r="C1702" i="1"/>
  <c r="C1701" i="1"/>
  <c r="C1700" i="1"/>
  <c r="C1699" i="1"/>
  <c r="C1698" i="1"/>
  <c r="C1697" i="1"/>
  <c r="C1696" i="1"/>
  <c r="C1695" i="1"/>
  <c r="C1694" i="1"/>
  <c r="C1693" i="1"/>
  <c r="C1692" i="1"/>
  <c r="C1691" i="1"/>
  <c r="C1690" i="1"/>
  <c r="C1689" i="1"/>
  <c r="C1688" i="1"/>
  <c r="C1687" i="1"/>
  <c r="C1686" i="1"/>
  <c r="C1685" i="1"/>
  <c r="C1684" i="1"/>
  <c r="C1683" i="1"/>
  <c r="C1682" i="1"/>
  <c r="C1681" i="1"/>
  <c r="C1680" i="1"/>
  <c r="C1679" i="1"/>
  <c r="C1678" i="1"/>
  <c r="C1677" i="1"/>
  <c r="C1676" i="1"/>
  <c r="C1675" i="1"/>
  <c r="C1674" i="1"/>
  <c r="C1673" i="1"/>
  <c r="C1672" i="1"/>
  <c r="C1671" i="1"/>
  <c r="C1670" i="1"/>
  <c r="C1669" i="1"/>
  <c r="C1668" i="1"/>
  <c r="C1667" i="1"/>
  <c r="C1666" i="1"/>
  <c r="C1665" i="1"/>
  <c r="C1664" i="1"/>
  <c r="C1663" i="1"/>
  <c r="C1662" i="1"/>
  <c r="C1661" i="1"/>
  <c r="C1660" i="1"/>
  <c r="C1659" i="1"/>
  <c r="C1658" i="1"/>
  <c r="C1657" i="1"/>
  <c r="C1656" i="1"/>
  <c r="C1655" i="1"/>
  <c r="C1654" i="1"/>
  <c r="C1653" i="1"/>
  <c r="C1652" i="1"/>
  <c r="C1651" i="1"/>
  <c r="C1650" i="1"/>
  <c r="C1649" i="1"/>
  <c r="C1648" i="1"/>
  <c r="C1647" i="1"/>
  <c r="C1646" i="1"/>
  <c r="C1645" i="1"/>
  <c r="C1644" i="1"/>
  <c r="C1643" i="1"/>
  <c r="C1642" i="1"/>
  <c r="C1641" i="1"/>
  <c r="C1640" i="1"/>
  <c r="C1639" i="1"/>
  <c r="C1638" i="1"/>
  <c r="C1637" i="1"/>
  <c r="C1636" i="1"/>
  <c r="C1635" i="1"/>
  <c r="C1634" i="1"/>
  <c r="C1633" i="1"/>
  <c r="C1632" i="1"/>
  <c r="C1631" i="1"/>
  <c r="C1630" i="1"/>
  <c r="C1629" i="1"/>
  <c r="C1628" i="1"/>
  <c r="C1627" i="1"/>
  <c r="C1626" i="1"/>
  <c r="C1625" i="1"/>
  <c r="C1624" i="1"/>
  <c r="C1623" i="1"/>
  <c r="C1622" i="1"/>
  <c r="C1621" i="1"/>
  <c r="C1620" i="1"/>
  <c r="C1619" i="1"/>
  <c r="C1618" i="1"/>
  <c r="C1617" i="1"/>
  <c r="C1616" i="1"/>
  <c r="C1615" i="1"/>
  <c r="C1614" i="1"/>
  <c r="C1613" i="1"/>
  <c r="C1612" i="1"/>
  <c r="C1611" i="1"/>
  <c r="C1610" i="1"/>
  <c r="C1609" i="1"/>
  <c r="C1608" i="1"/>
  <c r="C1607" i="1"/>
  <c r="C1606" i="1"/>
  <c r="C1605" i="1"/>
  <c r="C1604" i="1"/>
  <c r="C1603" i="1"/>
  <c r="C1602" i="1"/>
  <c r="C1601" i="1"/>
  <c r="C1600" i="1"/>
  <c r="C1599" i="1"/>
  <c r="C1598" i="1"/>
  <c r="C1597" i="1"/>
  <c r="C1596" i="1"/>
  <c r="C1595" i="1"/>
  <c r="C1594" i="1"/>
  <c r="C1593" i="1"/>
  <c r="C1592" i="1"/>
  <c r="C1591" i="1"/>
  <c r="C1590" i="1"/>
  <c r="C1589" i="1"/>
  <c r="C1588" i="1"/>
  <c r="C1587" i="1"/>
  <c r="C1586" i="1"/>
  <c r="C1585" i="1"/>
  <c r="C1584" i="1"/>
  <c r="C1583" i="1"/>
  <c r="C1582" i="1"/>
  <c r="C1581" i="1"/>
  <c r="C1580" i="1"/>
  <c r="C1579" i="1"/>
  <c r="C1578" i="1"/>
  <c r="C1577" i="1"/>
  <c r="C1576" i="1"/>
  <c r="C1575" i="1"/>
  <c r="C1574" i="1"/>
  <c r="C1573" i="1"/>
  <c r="C1572" i="1"/>
  <c r="C1571" i="1"/>
  <c r="C1570" i="1"/>
  <c r="C1569" i="1"/>
  <c r="C1568" i="1"/>
  <c r="C1567" i="1"/>
  <c r="C1566" i="1"/>
  <c r="C1565" i="1"/>
  <c r="C1564" i="1"/>
  <c r="C1563" i="1"/>
  <c r="C1562" i="1"/>
  <c r="C1561" i="1"/>
  <c r="C1560" i="1"/>
  <c r="C1559" i="1"/>
  <c r="C1558" i="1"/>
  <c r="C1557" i="1"/>
  <c r="C1556" i="1"/>
  <c r="C1555" i="1"/>
  <c r="C1554" i="1"/>
  <c r="C1553" i="1"/>
  <c r="C1552" i="1"/>
  <c r="C1551" i="1"/>
  <c r="C1550" i="1"/>
  <c r="C1549" i="1"/>
  <c r="C1548" i="1"/>
  <c r="C1547" i="1"/>
  <c r="C1546" i="1"/>
  <c r="C1545" i="1"/>
  <c r="C1544" i="1"/>
  <c r="C1543" i="1"/>
  <c r="C1542" i="1"/>
  <c r="C1541" i="1"/>
  <c r="C1540" i="1"/>
  <c r="C1539" i="1"/>
  <c r="C1538" i="1"/>
  <c r="C1537" i="1"/>
  <c r="C1536" i="1"/>
  <c r="C1535" i="1"/>
  <c r="C1534" i="1"/>
  <c r="C1533" i="1"/>
  <c r="C1532" i="1"/>
  <c r="C1531" i="1"/>
  <c r="C1530" i="1"/>
  <c r="C1529" i="1"/>
  <c r="C1528" i="1"/>
  <c r="C1527" i="1"/>
  <c r="C1526" i="1"/>
  <c r="C1525" i="1"/>
  <c r="C1524" i="1"/>
  <c r="C1523" i="1"/>
  <c r="C1522" i="1"/>
  <c r="C1521" i="1"/>
  <c r="C1520" i="1"/>
  <c r="C1519" i="1"/>
  <c r="C1518" i="1"/>
  <c r="C1517" i="1"/>
  <c r="C1516" i="1"/>
  <c r="C1515" i="1"/>
  <c r="C1514" i="1"/>
  <c r="C1513" i="1"/>
  <c r="C1512" i="1"/>
  <c r="C1511" i="1"/>
  <c r="C1510" i="1"/>
  <c r="C1509" i="1"/>
  <c r="C1508" i="1"/>
  <c r="C1507" i="1"/>
  <c r="C1506" i="1"/>
  <c r="C1505" i="1"/>
  <c r="C1504" i="1"/>
  <c r="C1503" i="1"/>
  <c r="C1502" i="1"/>
  <c r="C1501" i="1"/>
  <c r="C1500" i="1"/>
  <c r="C1499" i="1"/>
  <c r="C1498" i="1"/>
  <c r="C1497" i="1"/>
  <c r="C1496" i="1"/>
  <c r="C1495" i="1"/>
  <c r="C1494" i="1"/>
  <c r="C1493" i="1"/>
  <c r="C1492" i="1"/>
  <c r="C1491" i="1"/>
  <c r="C1490" i="1"/>
  <c r="C1489" i="1"/>
  <c r="C1488" i="1"/>
  <c r="C1487" i="1"/>
  <c r="C1486" i="1"/>
  <c r="C1485" i="1"/>
  <c r="C1484" i="1"/>
  <c r="C1483" i="1"/>
  <c r="C1482" i="1"/>
  <c r="C1481" i="1"/>
  <c r="C1480" i="1"/>
  <c r="C1479" i="1"/>
  <c r="C1478" i="1"/>
  <c r="C1477" i="1"/>
  <c r="C1476" i="1"/>
  <c r="C1475" i="1"/>
  <c r="C1474" i="1"/>
  <c r="C1473" i="1"/>
  <c r="C1472" i="1"/>
  <c r="C1471" i="1"/>
  <c r="C1470" i="1"/>
  <c r="C1469" i="1"/>
  <c r="C1468" i="1"/>
  <c r="C1467" i="1"/>
  <c r="C1466" i="1"/>
  <c r="C1465" i="1"/>
  <c r="C1464" i="1"/>
  <c r="C1463" i="1"/>
  <c r="C1462" i="1"/>
  <c r="C1461" i="1"/>
  <c r="C1460" i="1"/>
  <c r="C1459" i="1"/>
  <c r="C1458" i="1"/>
  <c r="C1457" i="1"/>
  <c r="C1456" i="1"/>
  <c r="C1455" i="1"/>
  <c r="C1454" i="1"/>
  <c r="C1453" i="1"/>
  <c r="C1452" i="1"/>
  <c r="C1451" i="1"/>
  <c r="C1450" i="1"/>
  <c r="C1449" i="1"/>
  <c r="C1448" i="1"/>
  <c r="C1447" i="1"/>
  <c r="C1446" i="1"/>
  <c r="C1445" i="1"/>
  <c r="C1444" i="1"/>
  <c r="C1443" i="1"/>
  <c r="C1442" i="1"/>
  <c r="C1441" i="1"/>
  <c r="C1440" i="1"/>
  <c r="C1439" i="1"/>
  <c r="C1438" i="1"/>
  <c r="C1437" i="1"/>
  <c r="C1436" i="1"/>
  <c r="C1435" i="1"/>
  <c r="C1434" i="1"/>
  <c r="C1433" i="1"/>
  <c r="C1432" i="1"/>
  <c r="C1431" i="1"/>
  <c r="C1430" i="1"/>
  <c r="C1429" i="1"/>
  <c r="C1428" i="1"/>
  <c r="C1427" i="1"/>
  <c r="C1426" i="1"/>
  <c r="C1425" i="1"/>
  <c r="C1424" i="1"/>
  <c r="C1423" i="1"/>
  <c r="C1422" i="1"/>
  <c r="C1421" i="1"/>
  <c r="C1420" i="1"/>
  <c r="C1419" i="1"/>
  <c r="C1418" i="1"/>
  <c r="C1417" i="1"/>
  <c r="C1416" i="1"/>
  <c r="C1415" i="1"/>
  <c r="C1414" i="1"/>
  <c r="C1413" i="1"/>
  <c r="C1412" i="1"/>
  <c r="C1411" i="1"/>
  <c r="C1410" i="1"/>
  <c r="C1409" i="1"/>
  <c r="C1408" i="1"/>
  <c r="C1407" i="1"/>
  <c r="C1406" i="1"/>
  <c r="C1405" i="1"/>
  <c r="C1404" i="1"/>
  <c r="C1403" i="1"/>
  <c r="C1402" i="1"/>
  <c r="C1401" i="1"/>
  <c r="C1400" i="1"/>
  <c r="C1399" i="1"/>
  <c r="C1398" i="1"/>
  <c r="C1397" i="1"/>
  <c r="C1396" i="1"/>
  <c r="C1395" i="1"/>
  <c r="C1394" i="1"/>
  <c r="C1393" i="1"/>
  <c r="C1392" i="1"/>
  <c r="C1391" i="1"/>
  <c r="C1390" i="1"/>
  <c r="C1389" i="1"/>
  <c r="C1388" i="1"/>
  <c r="C1387" i="1"/>
  <c r="C1386" i="1"/>
  <c r="C1385" i="1"/>
  <c r="C1384" i="1"/>
  <c r="C1383" i="1"/>
  <c r="C1382" i="1"/>
  <c r="C1381" i="1"/>
  <c r="C1380" i="1"/>
  <c r="C1379" i="1"/>
  <c r="C1378" i="1"/>
  <c r="C1377" i="1"/>
  <c r="C1376" i="1"/>
  <c r="C1375" i="1"/>
  <c r="C1374" i="1"/>
  <c r="C1373" i="1"/>
  <c r="C1372" i="1"/>
  <c r="C1371" i="1"/>
  <c r="C1370" i="1"/>
  <c r="C1369" i="1"/>
  <c r="C1368" i="1"/>
  <c r="C1367" i="1"/>
  <c r="C1366" i="1"/>
  <c r="C1365" i="1"/>
  <c r="C1364" i="1"/>
  <c r="C1363" i="1"/>
  <c r="C1362" i="1"/>
  <c r="C1361" i="1"/>
  <c r="C1360" i="1"/>
  <c r="C1359" i="1"/>
  <c r="C1358" i="1"/>
  <c r="C1357" i="1"/>
  <c r="C1356" i="1"/>
  <c r="C1355" i="1"/>
  <c r="C1354" i="1"/>
  <c r="C1353" i="1"/>
  <c r="C1352" i="1"/>
  <c r="C1351" i="1"/>
  <c r="C1350" i="1"/>
  <c r="C1349" i="1"/>
  <c r="C1348" i="1"/>
  <c r="C1347" i="1"/>
  <c r="C1346" i="1"/>
  <c r="C1345" i="1"/>
  <c r="C1344" i="1"/>
  <c r="C1343" i="1"/>
  <c r="C1342" i="1"/>
  <c r="C1341" i="1"/>
  <c r="C1340" i="1"/>
  <c r="C1339" i="1"/>
  <c r="C1338" i="1"/>
  <c r="C1337" i="1"/>
  <c r="C1336" i="1"/>
  <c r="C1335" i="1"/>
  <c r="C1334" i="1"/>
  <c r="C1333" i="1"/>
  <c r="C1332" i="1"/>
  <c r="C1331" i="1"/>
  <c r="C1330" i="1"/>
  <c r="C1329" i="1"/>
  <c r="C1328" i="1"/>
  <c r="C1327" i="1"/>
  <c r="C1326" i="1"/>
  <c r="C1325" i="1"/>
  <c r="C1324" i="1"/>
  <c r="C1323" i="1"/>
  <c r="C1322" i="1"/>
  <c r="C1321" i="1"/>
  <c r="C1320" i="1"/>
  <c r="C1319" i="1"/>
  <c r="C1318" i="1"/>
  <c r="C1317" i="1"/>
  <c r="C1316" i="1"/>
  <c r="C1315" i="1"/>
  <c r="C1314" i="1"/>
  <c r="C1313" i="1"/>
  <c r="C1312" i="1"/>
  <c r="C1311" i="1"/>
  <c r="C1310" i="1"/>
  <c r="C1309" i="1"/>
  <c r="C1308" i="1"/>
  <c r="C1307" i="1"/>
  <c r="C1306" i="1"/>
  <c r="C1305" i="1"/>
  <c r="C1304" i="1"/>
  <c r="C1303" i="1"/>
  <c r="C1302" i="1"/>
  <c r="C1301" i="1"/>
  <c r="C1300" i="1"/>
  <c r="C1299" i="1"/>
  <c r="C1298" i="1"/>
  <c r="C1297" i="1"/>
  <c r="C1296" i="1"/>
  <c r="C1295" i="1"/>
  <c r="C1294" i="1"/>
  <c r="C1293" i="1"/>
  <c r="C1292" i="1"/>
  <c r="C1291" i="1"/>
  <c r="C1290" i="1"/>
  <c r="C1289" i="1"/>
  <c r="C1288" i="1"/>
  <c r="C1287" i="1"/>
  <c r="C1286" i="1"/>
  <c r="C1285" i="1"/>
  <c r="C1284" i="1"/>
  <c r="C1283" i="1"/>
  <c r="C1282" i="1"/>
  <c r="C1281" i="1"/>
  <c r="C1280" i="1"/>
  <c r="C1279" i="1"/>
  <c r="C1278" i="1"/>
  <c r="C1277" i="1"/>
  <c r="C1276" i="1"/>
  <c r="C1275" i="1"/>
  <c r="C1274" i="1"/>
  <c r="C1273" i="1"/>
  <c r="C1272" i="1"/>
  <c r="C1271" i="1"/>
  <c r="C1270" i="1"/>
  <c r="C1269" i="1"/>
  <c r="C1268" i="1"/>
  <c r="C1267" i="1"/>
  <c r="C1266" i="1"/>
  <c r="C1265" i="1"/>
  <c r="C1264" i="1"/>
  <c r="C1263" i="1"/>
  <c r="C1262" i="1"/>
  <c r="C1261" i="1"/>
  <c r="C1260" i="1"/>
  <c r="C1259" i="1"/>
  <c r="C1258" i="1"/>
  <c r="C1257" i="1"/>
  <c r="C1256" i="1"/>
  <c r="C1255" i="1"/>
  <c r="C1254" i="1"/>
  <c r="C1253" i="1"/>
  <c r="C1252" i="1"/>
  <c r="C1251" i="1"/>
  <c r="C1250" i="1"/>
  <c r="C1249" i="1"/>
  <c r="C1248" i="1"/>
  <c r="C1247" i="1"/>
  <c r="C1246" i="1"/>
  <c r="C1245" i="1"/>
  <c r="C1244" i="1"/>
  <c r="C1243" i="1"/>
  <c r="C1242" i="1"/>
  <c r="C1241" i="1"/>
  <c r="C1240" i="1"/>
  <c r="C1239" i="1"/>
  <c r="C1238" i="1"/>
  <c r="C1237" i="1"/>
  <c r="C1236" i="1"/>
  <c r="C1235" i="1"/>
  <c r="C1234" i="1"/>
  <c r="C1233" i="1"/>
  <c r="C1232" i="1"/>
  <c r="C1231" i="1"/>
  <c r="C1230" i="1"/>
  <c r="C1229" i="1"/>
  <c r="C1228" i="1"/>
  <c r="C1227" i="1"/>
  <c r="C1226" i="1"/>
  <c r="C1225" i="1"/>
  <c r="C1224" i="1"/>
  <c r="C1223" i="1"/>
  <c r="C1222" i="1"/>
  <c r="C1221" i="1"/>
  <c r="C1220" i="1"/>
  <c r="C1219" i="1"/>
  <c r="C1218" i="1"/>
  <c r="C1217" i="1"/>
  <c r="C1216" i="1"/>
  <c r="C1215" i="1"/>
  <c r="C1214" i="1"/>
  <c r="C1213" i="1"/>
  <c r="C1212" i="1"/>
  <c r="C1211" i="1"/>
  <c r="C1210" i="1"/>
  <c r="C1209" i="1"/>
  <c r="C1208" i="1"/>
  <c r="C1207" i="1"/>
  <c r="C1206" i="1"/>
  <c r="C1205" i="1"/>
  <c r="C1204" i="1"/>
  <c r="C1203" i="1"/>
  <c r="C1202" i="1"/>
  <c r="C1201" i="1"/>
  <c r="C1200" i="1"/>
  <c r="C1199" i="1"/>
  <c r="C1198" i="1"/>
  <c r="C1197" i="1"/>
  <c r="C1196" i="1"/>
  <c r="C1195" i="1"/>
  <c r="C1194" i="1"/>
  <c r="C1193" i="1"/>
  <c r="C1192" i="1"/>
  <c r="C1191" i="1"/>
  <c r="C1190" i="1"/>
  <c r="C1189" i="1"/>
  <c r="C1188" i="1"/>
  <c r="C1187" i="1"/>
  <c r="C1186" i="1"/>
  <c r="C1185" i="1"/>
  <c r="C1184" i="1"/>
  <c r="C1183" i="1"/>
  <c r="C1182" i="1"/>
  <c r="C1181" i="1"/>
  <c r="C1180" i="1"/>
  <c r="C1179" i="1"/>
  <c r="C1178" i="1"/>
  <c r="C1177" i="1"/>
  <c r="C1176" i="1"/>
  <c r="C1175" i="1"/>
  <c r="C1174" i="1"/>
  <c r="C1173" i="1"/>
  <c r="C1172" i="1"/>
  <c r="C1171" i="1"/>
  <c r="C1170" i="1"/>
  <c r="C1169" i="1"/>
  <c r="C1168" i="1"/>
  <c r="C1167" i="1"/>
  <c r="C1166" i="1"/>
  <c r="C1165" i="1"/>
  <c r="C1164" i="1"/>
  <c r="C1163" i="1"/>
  <c r="C1162" i="1"/>
  <c r="C1161" i="1"/>
  <c r="C1160" i="1"/>
  <c r="C1159" i="1"/>
  <c r="C1158" i="1"/>
  <c r="C1157" i="1"/>
  <c r="C1156" i="1"/>
  <c r="C1155" i="1"/>
  <c r="C1154" i="1"/>
  <c r="C1153" i="1"/>
  <c r="C1152" i="1"/>
  <c r="C1151" i="1"/>
  <c r="C1150" i="1"/>
  <c r="C1149" i="1"/>
  <c r="C1148" i="1"/>
  <c r="C1147" i="1"/>
  <c r="C1146" i="1"/>
  <c r="C1145" i="1"/>
  <c r="C1144" i="1"/>
  <c r="C1143" i="1"/>
  <c r="C1142" i="1"/>
  <c r="C1141" i="1"/>
  <c r="C1140" i="1"/>
  <c r="C1139" i="1"/>
  <c r="C1138" i="1"/>
  <c r="C1137" i="1"/>
  <c r="C1136" i="1"/>
  <c r="C1135" i="1"/>
  <c r="C1134" i="1"/>
  <c r="C1133" i="1"/>
  <c r="C1132" i="1"/>
  <c r="C1131" i="1"/>
  <c r="C1130" i="1"/>
  <c r="C1129" i="1"/>
  <c r="C1128" i="1"/>
  <c r="C1127" i="1"/>
  <c r="C1126" i="1"/>
  <c r="C1125" i="1"/>
  <c r="C1124" i="1"/>
  <c r="C1123" i="1"/>
  <c r="C1122" i="1"/>
  <c r="C1121" i="1"/>
  <c r="C1120" i="1"/>
  <c r="C1119" i="1"/>
  <c r="C1118" i="1"/>
  <c r="C1117" i="1"/>
  <c r="C1116" i="1"/>
  <c r="C1115" i="1"/>
  <c r="C1114" i="1"/>
  <c r="C1113" i="1"/>
  <c r="C1112" i="1"/>
  <c r="C1111" i="1"/>
  <c r="C1110" i="1"/>
  <c r="C1109" i="1"/>
  <c r="C1108" i="1"/>
  <c r="C1107" i="1"/>
  <c r="C1106" i="1"/>
  <c r="C1105" i="1"/>
  <c r="C1104" i="1"/>
  <c r="C1103" i="1"/>
  <c r="C1102" i="1"/>
  <c r="C1101" i="1"/>
  <c r="C1100" i="1"/>
  <c r="C1099" i="1"/>
  <c r="C1098" i="1"/>
  <c r="C1097" i="1"/>
  <c r="C1096" i="1"/>
  <c r="C1095" i="1"/>
  <c r="C1094" i="1"/>
  <c r="C1093" i="1"/>
  <c r="C1092" i="1"/>
  <c r="C1091" i="1"/>
  <c r="C1090" i="1"/>
  <c r="C1089" i="1"/>
  <c r="C1088" i="1"/>
  <c r="C1087" i="1"/>
  <c r="C1086" i="1"/>
  <c r="C1085" i="1"/>
  <c r="C1084" i="1"/>
  <c r="C1083" i="1"/>
  <c r="C1082" i="1"/>
  <c r="C1081" i="1"/>
  <c r="C1080" i="1"/>
  <c r="C1079" i="1"/>
  <c r="C1078" i="1"/>
  <c r="C1077" i="1"/>
  <c r="C1076" i="1"/>
  <c r="C1075" i="1"/>
  <c r="C1074" i="1"/>
  <c r="C1073" i="1"/>
  <c r="C1072" i="1"/>
  <c r="C1071" i="1"/>
  <c r="C1070" i="1"/>
  <c r="C1069" i="1"/>
  <c r="C1068" i="1"/>
  <c r="C1067" i="1"/>
  <c r="C1066" i="1"/>
  <c r="C1065" i="1"/>
  <c r="C1064" i="1"/>
  <c r="C1063" i="1"/>
  <c r="C1062" i="1"/>
  <c r="C1061" i="1"/>
  <c r="C1060" i="1"/>
  <c r="C1059" i="1"/>
  <c r="C1058" i="1"/>
  <c r="C1057" i="1"/>
  <c r="C1056" i="1"/>
  <c r="C1055" i="1"/>
  <c r="C1054" i="1"/>
  <c r="C1053" i="1"/>
  <c r="C1052" i="1"/>
  <c r="C1051" i="1"/>
  <c r="C1050" i="1"/>
  <c r="C1049" i="1"/>
  <c r="C1048" i="1"/>
  <c r="C1047" i="1"/>
  <c r="C1046" i="1"/>
  <c r="C1045" i="1"/>
  <c r="C1044" i="1"/>
  <c r="C1043" i="1"/>
  <c r="C1042" i="1"/>
  <c r="C1041" i="1"/>
  <c r="C1040" i="1"/>
  <c r="C1039" i="1"/>
  <c r="C1038" i="1"/>
  <c r="C1037" i="1"/>
  <c r="C1036" i="1"/>
  <c r="C1035" i="1"/>
  <c r="C1034" i="1"/>
  <c r="C1033" i="1"/>
  <c r="C1032" i="1"/>
  <c r="C1031" i="1"/>
  <c r="C1030" i="1"/>
  <c r="C1029" i="1"/>
  <c r="C1028" i="1"/>
  <c r="C1027" i="1"/>
  <c r="C1026" i="1"/>
  <c r="C1025" i="1"/>
  <c r="C1024" i="1"/>
  <c r="C1023" i="1"/>
  <c r="C1022" i="1"/>
  <c r="C1021" i="1"/>
  <c r="C1020" i="1"/>
  <c r="C1019" i="1"/>
  <c r="C1018" i="1"/>
  <c r="C1017" i="1"/>
  <c r="C1016" i="1"/>
  <c r="C1015" i="1"/>
  <c r="C1014" i="1"/>
  <c r="C1013" i="1"/>
  <c r="C1012" i="1"/>
  <c r="C1011" i="1"/>
  <c r="C1010" i="1"/>
  <c r="C1009" i="1"/>
  <c r="C1008" i="1"/>
  <c r="C1007" i="1"/>
  <c r="C1006" i="1"/>
  <c r="C1005" i="1"/>
  <c r="C1004" i="1"/>
  <c r="C1003" i="1"/>
  <c r="C1002" i="1"/>
  <c r="C1001" i="1"/>
  <c r="C1000" i="1"/>
  <c r="C999" i="1"/>
  <c r="C998" i="1"/>
  <c r="C997" i="1"/>
  <c r="C996" i="1"/>
  <c r="C995" i="1"/>
  <c r="C994" i="1"/>
  <c r="C993" i="1"/>
  <c r="C992" i="1"/>
  <c r="C991" i="1"/>
  <c r="C990" i="1"/>
  <c r="C989" i="1"/>
  <c r="C988" i="1"/>
  <c r="C987" i="1"/>
  <c r="C986" i="1"/>
  <c r="C985" i="1"/>
  <c r="C984" i="1"/>
  <c r="C983" i="1"/>
  <c r="C982" i="1"/>
  <c r="C981" i="1"/>
  <c r="C980" i="1"/>
  <c r="C979" i="1"/>
  <c r="C978" i="1"/>
  <c r="C977" i="1"/>
  <c r="C976" i="1"/>
  <c r="C975" i="1"/>
  <c r="C974" i="1"/>
  <c r="C973" i="1"/>
  <c r="C972" i="1"/>
  <c r="C971" i="1"/>
  <c r="C970" i="1"/>
  <c r="C969" i="1"/>
  <c r="C968" i="1"/>
  <c r="C967" i="1"/>
  <c r="C966" i="1"/>
  <c r="C965" i="1"/>
  <c r="C964" i="1"/>
  <c r="C963" i="1"/>
  <c r="C962" i="1"/>
  <c r="C961" i="1"/>
  <c r="C960" i="1"/>
  <c r="C959" i="1"/>
  <c r="C958" i="1"/>
  <c r="C957" i="1"/>
  <c r="C956" i="1"/>
  <c r="C955" i="1"/>
  <c r="C954" i="1"/>
  <c r="C953" i="1"/>
  <c r="C952" i="1"/>
  <c r="C951" i="1"/>
  <c r="C950" i="1"/>
  <c r="C949" i="1"/>
  <c r="C948" i="1"/>
  <c r="C947" i="1"/>
  <c r="C946" i="1"/>
  <c r="C945" i="1"/>
  <c r="C944" i="1"/>
  <c r="C943" i="1"/>
  <c r="C942" i="1"/>
  <c r="C941" i="1"/>
  <c r="C940" i="1"/>
  <c r="C939" i="1"/>
  <c r="C938" i="1"/>
  <c r="C937" i="1"/>
  <c r="C936" i="1"/>
  <c r="C935" i="1"/>
  <c r="C934" i="1"/>
  <c r="C933" i="1"/>
  <c r="C932" i="1"/>
  <c r="C931" i="1"/>
  <c r="C930" i="1"/>
  <c r="C929" i="1"/>
  <c r="C928" i="1"/>
  <c r="C927" i="1"/>
  <c r="C926" i="1"/>
  <c r="C925" i="1"/>
  <c r="C924" i="1"/>
  <c r="C923" i="1"/>
  <c r="C922" i="1"/>
  <c r="C921" i="1"/>
  <c r="C920" i="1"/>
  <c r="C919" i="1"/>
  <c r="C918" i="1"/>
  <c r="C917" i="1"/>
  <c r="C916" i="1"/>
  <c r="C915" i="1"/>
  <c r="C914" i="1"/>
  <c r="C913" i="1"/>
  <c r="C912" i="1"/>
  <c r="C911" i="1"/>
  <c r="C910" i="1"/>
  <c r="C909" i="1"/>
  <c r="C908" i="1"/>
  <c r="C907" i="1"/>
  <c r="C906" i="1"/>
  <c r="C905" i="1"/>
  <c r="C904" i="1"/>
  <c r="C903" i="1"/>
  <c r="C902" i="1"/>
  <c r="C901" i="1"/>
  <c r="C900" i="1"/>
  <c r="C899" i="1"/>
  <c r="C898" i="1"/>
  <c r="C897" i="1"/>
  <c r="C896" i="1"/>
  <c r="C895" i="1"/>
  <c r="C894" i="1"/>
  <c r="C893" i="1"/>
  <c r="C892" i="1"/>
  <c r="C891" i="1"/>
  <c r="C890" i="1"/>
  <c r="C889" i="1"/>
  <c r="C888" i="1"/>
  <c r="C887" i="1"/>
  <c r="C886" i="1"/>
  <c r="C885" i="1"/>
  <c r="C884" i="1"/>
  <c r="C883" i="1"/>
  <c r="C882" i="1"/>
  <c r="C881" i="1"/>
  <c r="C880" i="1"/>
  <c r="C879" i="1"/>
  <c r="C878" i="1"/>
  <c r="C877" i="1"/>
  <c r="C876" i="1"/>
  <c r="C875" i="1"/>
  <c r="C874" i="1"/>
  <c r="C873" i="1"/>
  <c r="C872" i="1"/>
  <c r="C871" i="1"/>
  <c r="C870" i="1"/>
  <c r="C869" i="1"/>
  <c r="C868" i="1"/>
  <c r="C867" i="1"/>
  <c r="C866" i="1"/>
  <c r="C865" i="1"/>
  <c r="C864" i="1"/>
  <c r="C863" i="1"/>
  <c r="C862" i="1"/>
  <c r="C861" i="1"/>
  <c r="C860" i="1"/>
  <c r="C859" i="1"/>
  <c r="C858" i="1"/>
  <c r="C857" i="1"/>
  <c r="C856" i="1"/>
  <c r="C855" i="1"/>
  <c r="C854" i="1"/>
  <c r="C853" i="1"/>
  <c r="C852" i="1"/>
  <c r="C851" i="1"/>
  <c r="C850" i="1"/>
  <c r="C849" i="1"/>
  <c r="C848" i="1"/>
  <c r="C847" i="1"/>
  <c r="C846" i="1"/>
  <c r="C845" i="1"/>
  <c r="C844" i="1"/>
  <c r="C843" i="1"/>
  <c r="C842" i="1"/>
  <c r="C841" i="1"/>
  <c r="C840" i="1"/>
  <c r="C839" i="1"/>
  <c r="C838" i="1"/>
  <c r="C837" i="1"/>
  <c r="C836" i="1"/>
  <c r="C835" i="1"/>
  <c r="C834" i="1"/>
  <c r="C833" i="1"/>
  <c r="C832" i="1"/>
  <c r="C831" i="1"/>
  <c r="C830" i="1"/>
  <c r="C829" i="1"/>
  <c r="C828" i="1"/>
  <c r="C827" i="1"/>
  <c r="C826" i="1"/>
  <c r="C825" i="1"/>
  <c r="C824" i="1"/>
  <c r="C823" i="1"/>
  <c r="C822" i="1"/>
  <c r="C821" i="1"/>
  <c r="C820" i="1"/>
  <c r="C819" i="1"/>
  <c r="C818" i="1"/>
  <c r="C817" i="1"/>
  <c r="C816" i="1"/>
  <c r="C815" i="1"/>
  <c r="C814" i="1"/>
  <c r="C813" i="1"/>
  <c r="C812" i="1"/>
  <c r="C811" i="1"/>
  <c r="C810" i="1"/>
  <c r="C809" i="1"/>
  <c r="C808" i="1"/>
  <c r="C807" i="1"/>
  <c r="C806" i="1"/>
  <c r="C805" i="1"/>
  <c r="C804" i="1"/>
  <c r="C803" i="1"/>
  <c r="C802" i="1"/>
  <c r="C801" i="1"/>
  <c r="C800" i="1"/>
  <c r="C799" i="1"/>
  <c r="C798" i="1"/>
  <c r="C797" i="1"/>
  <c r="C796" i="1"/>
  <c r="C795" i="1"/>
  <c r="C794" i="1"/>
  <c r="C793" i="1"/>
  <c r="C792" i="1"/>
  <c r="C791" i="1"/>
  <c r="C790" i="1"/>
  <c r="C789" i="1"/>
  <c r="C788" i="1"/>
  <c r="C787" i="1"/>
  <c r="C786" i="1"/>
  <c r="C785" i="1"/>
  <c r="C784" i="1"/>
  <c r="C783" i="1"/>
  <c r="C782" i="1"/>
  <c r="C781" i="1"/>
  <c r="C780" i="1"/>
  <c r="C779" i="1"/>
  <c r="C778" i="1"/>
  <c r="C777" i="1"/>
  <c r="C776" i="1"/>
  <c r="C775" i="1"/>
  <c r="C774" i="1"/>
  <c r="C773" i="1"/>
  <c r="C772" i="1"/>
  <c r="C771" i="1"/>
  <c r="C770" i="1"/>
  <c r="C769" i="1"/>
  <c r="C768" i="1"/>
  <c r="C767" i="1"/>
  <c r="C766" i="1"/>
  <c r="C765" i="1"/>
  <c r="C764" i="1"/>
  <c r="C763" i="1"/>
  <c r="C762" i="1"/>
  <c r="C761" i="1"/>
  <c r="C760" i="1"/>
  <c r="C759" i="1"/>
  <c r="C758" i="1"/>
  <c r="C757" i="1"/>
  <c r="C756" i="1"/>
  <c r="C755" i="1"/>
  <c r="C754" i="1"/>
  <c r="C753" i="1"/>
  <c r="C752" i="1"/>
  <c r="C751" i="1"/>
  <c r="C750" i="1"/>
  <c r="C749" i="1"/>
  <c r="C748" i="1"/>
  <c r="C747" i="1"/>
  <c r="C746" i="1"/>
  <c r="C745" i="1"/>
  <c r="C744" i="1"/>
  <c r="C743" i="1"/>
  <c r="C742" i="1"/>
  <c r="C741" i="1"/>
  <c r="C740" i="1"/>
  <c r="C739" i="1"/>
  <c r="C738" i="1"/>
  <c r="C737" i="1"/>
  <c r="C736" i="1"/>
  <c r="C735" i="1"/>
  <c r="C734" i="1"/>
  <c r="C733" i="1"/>
  <c r="C732" i="1"/>
  <c r="C731" i="1"/>
  <c r="C730" i="1"/>
  <c r="C729" i="1"/>
  <c r="C728" i="1"/>
  <c r="C727" i="1"/>
  <c r="C726" i="1"/>
  <c r="C725" i="1"/>
  <c r="C724" i="1"/>
  <c r="C723" i="1"/>
  <c r="C722" i="1"/>
  <c r="C721" i="1"/>
  <c r="C720" i="1"/>
  <c r="C719" i="1"/>
  <c r="C718" i="1"/>
  <c r="C717" i="1"/>
  <c r="C716" i="1"/>
  <c r="C715" i="1"/>
  <c r="C714" i="1"/>
  <c r="C713" i="1"/>
  <c r="C712" i="1"/>
  <c r="C711" i="1"/>
  <c r="C710" i="1"/>
  <c r="C709" i="1"/>
  <c r="C708" i="1"/>
  <c r="C707" i="1"/>
  <c r="C706" i="1"/>
  <c r="C705" i="1"/>
  <c r="C704" i="1"/>
  <c r="C703" i="1"/>
  <c r="C702" i="1"/>
  <c r="C701" i="1"/>
  <c r="C700" i="1"/>
  <c r="C699" i="1"/>
  <c r="C698" i="1"/>
  <c r="C697" i="1"/>
  <c r="C696" i="1"/>
  <c r="C695" i="1"/>
  <c r="C694" i="1"/>
  <c r="C693" i="1"/>
  <c r="C692" i="1"/>
  <c r="C691" i="1"/>
  <c r="C690" i="1"/>
  <c r="C689" i="1"/>
  <c r="C688" i="1"/>
  <c r="C687" i="1"/>
  <c r="C686" i="1"/>
  <c r="C685" i="1"/>
  <c r="C684" i="1"/>
  <c r="C683" i="1"/>
  <c r="C682" i="1"/>
  <c r="C681" i="1"/>
  <c r="C680" i="1"/>
  <c r="C679" i="1"/>
  <c r="C678" i="1"/>
  <c r="C677" i="1"/>
  <c r="C676" i="1"/>
  <c r="C675" i="1"/>
  <c r="C674" i="1"/>
  <c r="C673" i="1"/>
  <c r="C672" i="1"/>
  <c r="C671" i="1"/>
  <c r="C670" i="1"/>
  <c r="C669" i="1"/>
  <c r="C668" i="1"/>
  <c r="C667" i="1"/>
  <c r="C666" i="1"/>
  <c r="C665" i="1"/>
  <c r="C664" i="1"/>
  <c r="C663" i="1"/>
  <c r="C662" i="1"/>
  <c r="C661" i="1"/>
  <c r="C660" i="1"/>
  <c r="C659" i="1"/>
  <c r="C658" i="1"/>
  <c r="C657" i="1"/>
  <c r="C656" i="1"/>
  <c r="C655" i="1"/>
  <c r="C654" i="1"/>
  <c r="C653" i="1"/>
  <c r="C652" i="1"/>
  <c r="C651" i="1"/>
  <c r="C650" i="1"/>
  <c r="C649" i="1"/>
  <c r="C648" i="1"/>
  <c r="C647" i="1"/>
  <c r="C646" i="1"/>
  <c r="C645" i="1"/>
  <c r="C644" i="1"/>
  <c r="C643" i="1"/>
  <c r="C642" i="1"/>
  <c r="C641" i="1"/>
  <c r="C640" i="1"/>
  <c r="C639" i="1"/>
  <c r="C638" i="1"/>
  <c r="C637" i="1"/>
  <c r="C636" i="1"/>
  <c r="C635" i="1"/>
  <c r="C634" i="1"/>
  <c r="C633" i="1"/>
  <c r="C632" i="1"/>
  <c r="C631" i="1"/>
  <c r="C630" i="1"/>
  <c r="C629" i="1"/>
  <c r="C628" i="1"/>
  <c r="C627" i="1"/>
  <c r="C626" i="1"/>
  <c r="C625" i="1"/>
  <c r="C624" i="1"/>
  <c r="C623" i="1"/>
  <c r="C622" i="1"/>
  <c r="C621" i="1"/>
  <c r="C620" i="1"/>
  <c r="C619" i="1"/>
  <c r="C618" i="1"/>
  <c r="C617" i="1"/>
  <c r="C616" i="1"/>
  <c r="C615" i="1"/>
  <c r="C614" i="1"/>
  <c r="C613" i="1"/>
  <c r="C612" i="1"/>
  <c r="C611" i="1"/>
  <c r="C610" i="1"/>
  <c r="C609" i="1"/>
  <c r="C608" i="1"/>
  <c r="C607" i="1"/>
  <c r="C606" i="1"/>
  <c r="C605" i="1"/>
  <c r="C604" i="1"/>
  <c r="C603" i="1"/>
  <c r="C602" i="1"/>
  <c r="C601" i="1"/>
  <c r="C600" i="1"/>
  <c r="C599" i="1"/>
  <c r="C598" i="1"/>
  <c r="C597" i="1"/>
  <c r="C596" i="1"/>
  <c r="C595" i="1"/>
  <c r="C594" i="1"/>
  <c r="C593" i="1"/>
  <c r="C592" i="1"/>
  <c r="C591" i="1"/>
  <c r="C590" i="1"/>
  <c r="C589" i="1"/>
  <c r="C588" i="1"/>
  <c r="C587" i="1"/>
  <c r="C586" i="1"/>
  <c r="C585" i="1"/>
  <c r="C584" i="1"/>
  <c r="C583" i="1"/>
  <c r="C582" i="1"/>
  <c r="C581" i="1"/>
  <c r="C580" i="1"/>
  <c r="C579" i="1"/>
  <c r="C578" i="1"/>
  <c r="C577" i="1"/>
  <c r="C576" i="1"/>
  <c r="C575" i="1"/>
  <c r="C574" i="1"/>
  <c r="C573" i="1"/>
  <c r="C572" i="1"/>
  <c r="C571" i="1"/>
  <c r="C570" i="1"/>
  <c r="C569" i="1"/>
  <c r="C568" i="1"/>
  <c r="C567" i="1"/>
  <c r="C566" i="1"/>
  <c r="C565" i="1"/>
  <c r="C564" i="1"/>
  <c r="C563" i="1"/>
  <c r="C562" i="1"/>
  <c r="C561" i="1"/>
  <c r="C560" i="1"/>
  <c r="C559" i="1"/>
  <c r="C558" i="1"/>
  <c r="C557" i="1"/>
  <c r="C556" i="1"/>
  <c r="C555" i="1"/>
  <c r="C554" i="1"/>
  <c r="C553" i="1"/>
  <c r="C552" i="1"/>
  <c r="C551" i="1"/>
  <c r="C550" i="1"/>
  <c r="C549" i="1"/>
  <c r="C548" i="1"/>
  <c r="C547" i="1"/>
  <c r="C546" i="1"/>
  <c r="C545" i="1"/>
  <c r="C544" i="1"/>
  <c r="C543" i="1"/>
  <c r="C542" i="1"/>
  <c r="C541" i="1"/>
  <c r="C540" i="1"/>
  <c r="C539" i="1"/>
  <c r="C538" i="1"/>
  <c r="C537" i="1"/>
  <c r="C536" i="1"/>
  <c r="C535" i="1"/>
  <c r="C534" i="1"/>
  <c r="C533" i="1"/>
  <c r="C532" i="1"/>
  <c r="C531" i="1"/>
  <c r="C530" i="1"/>
  <c r="C529" i="1"/>
  <c r="C528" i="1"/>
  <c r="C527" i="1"/>
  <c r="C526" i="1"/>
  <c r="C525" i="1"/>
  <c r="C524" i="1"/>
  <c r="C523" i="1"/>
  <c r="C522" i="1"/>
  <c r="C521" i="1"/>
  <c r="C520" i="1"/>
  <c r="C519" i="1"/>
  <c r="C518" i="1"/>
  <c r="C517" i="1"/>
  <c r="C516" i="1"/>
  <c r="C515" i="1"/>
  <c r="C514" i="1"/>
  <c r="C513" i="1"/>
  <c r="C512" i="1"/>
  <c r="C511" i="1"/>
  <c r="C510" i="1"/>
  <c r="C509" i="1"/>
  <c r="C508" i="1"/>
  <c r="C507" i="1"/>
  <c r="C506" i="1"/>
  <c r="C505" i="1"/>
  <c r="C504" i="1"/>
  <c r="C503" i="1"/>
  <c r="C502" i="1"/>
  <c r="C501" i="1"/>
  <c r="C500" i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<sst xmlns="http://schemas.openxmlformats.org/spreadsheetml/2006/main" count="4352" uniqueCount="54">
  <si>
    <t>MM/YY</t>
  </si>
  <si>
    <t>Wyoming</t>
  </si>
  <si>
    <t>All Employees | Non-Farming</t>
  </si>
  <si>
    <t>Alaska</t>
  </si>
  <si>
    <t>Texas</t>
  </si>
  <si>
    <t>Oaklahoma</t>
  </si>
  <si>
    <t>North Dekota</t>
  </si>
  <si>
    <t>Pennsylvania</t>
  </si>
  <si>
    <t>Louisiana</t>
  </si>
  <si>
    <t>Montana</t>
  </si>
  <si>
    <t>New Mexico</t>
  </si>
  <si>
    <t>Colorado</t>
  </si>
  <si>
    <t>Utah</t>
  </si>
  <si>
    <t>Idaho</t>
  </si>
  <si>
    <t>Arizona</t>
  </si>
  <si>
    <t>South Dekota</t>
  </si>
  <si>
    <t>Nebraska, All Employees (1000s) | Non-Farming</t>
  </si>
  <si>
    <t>Kansas</t>
  </si>
  <si>
    <t>Production Barrel of oils per day</t>
  </si>
  <si>
    <t>Eagle Ford (TX)</t>
  </si>
  <si>
    <t>Bakken (MT &amp; ND)</t>
  </si>
  <si>
    <t>Spraberry (TX &amp; NM)</t>
  </si>
  <si>
    <t>Bonespring (TX &amp; NM Permian)</t>
  </si>
  <si>
    <t>Wolfcamp (TX &amp; NM)</t>
  </si>
  <si>
    <t>Delaware (TX &amp; NM)</t>
  </si>
  <si>
    <t>Yeso &amp; Glorieta (TX &amp; NM)</t>
  </si>
  <si>
    <t>Niobrara-Codell (CO, WY)</t>
  </si>
  <si>
    <t>Wyoming, All Employees | Non-Farming</t>
  </si>
  <si>
    <t xml:space="preserve"> Alaska, All Employees | Non-Farming</t>
  </si>
  <si>
    <t>Texas, All Employees | Non-Farming</t>
  </si>
  <si>
    <t xml:space="preserve"> Oaklahoma, All Employees | Non-Farming</t>
  </si>
  <si>
    <t>North Dekota, All Employees | Non-Farming</t>
  </si>
  <si>
    <t>Pennsylvania, All Employees | Non-Farming</t>
  </si>
  <si>
    <t>Louisiana, All Employees | Non-Farming</t>
  </si>
  <si>
    <t>Montana, All Employees | Non-Farming</t>
  </si>
  <si>
    <t>New Mexico, All Employees | Non-Farming</t>
  </si>
  <si>
    <t>Colorado, All Employees | Non-Farming</t>
  </si>
  <si>
    <t xml:space="preserve">Eagle Ford (TX) Production Barrel of oils per day </t>
  </si>
  <si>
    <t xml:space="preserve">Bakken (MT &amp; ND) Production Barrel of oils per day </t>
  </si>
  <si>
    <t>Spraberry (TX &amp; NM Permian) Production Barrel of oils per day</t>
  </si>
  <si>
    <t xml:space="preserve">Bonespring (TX &amp; NM Permian) Production Barrel of oils </t>
  </si>
  <si>
    <t xml:space="preserve">Wolfcamp (TX &amp; NM Permian)  Production Barrel of oils </t>
  </si>
  <si>
    <t xml:space="preserve">Delaware (TX &amp; NM Permian) Production Barrel of oils </t>
  </si>
  <si>
    <t xml:space="preserve">Yeso &amp; Glorieta (TX &amp; NM Permian) Production Barrel of oils </t>
  </si>
  <si>
    <t xml:space="preserve">Niobrara-Codell (CO, WY) Production Barrel of oils </t>
  </si>
  <si>
    <t>Utah, All Employees (1000s) | Non-Farming</t>
  </si>
  <si>
    <t>Idaho, All Employees (1000s) | Non-Farming</t>
  </si>
  <si>
    <t>Arizona, All Employees (1000s) | Non-Farming</t>
  </si>
  <si>
    <t>South Dekota, All Employees (1000s) | Non-Farming</t>
  </si>
  <si>
    <t>Kansas, All Employees (1000s) | Non-Farming</t>
  </si>
  <si>
    <t>MIN WAGE</t>
  </si>
  <si>
    <t>Above Average Minimum Wage</t>
  </si>
  <si>
    <t>Below Average Minimum wage</t>
  </si>
  <si>
    <t>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</si>
</sst>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12"/>
      </top>
      <bottom/>
      <diagonal/>
    </border>
    <border>
      <left/>
      <right/>
      <top/>
      <bottom style="thin">
        <color indexed="1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Border="1"/>
    <xf numFmtId="17" fontId="0" fillId="0" borderId="0" xfId="0" applyNumberFormat="1" applyFill="1" applyBorder="1"/>
    <xf numFmtId="0" fontId="0" fillId="2" borderId="0" xfId="0" applyFill="1"/>
    <xf numFmtId="0" fontId="0" fillId="3" borderId="1" xfId="0" applyFill="1" applyBorder="1"/>
    <xf numFmtId="0" fontId="0" fillId="3" borderId="0" xfId="0" applyFill="1"/>
    <xf numFmtId="0" fontId="0" fillId="4" borderId="0" xfId="0" applyFill="1" applyBorder="1"/>
    <xf numFmtId="17" fontId="0" fillId="0" borderId="0" xfId="0" applyNumberFormat="1"/>
    <xf numFmtId="0" fontId="0" fillId="4" borderId="0" xfId="0" applyFill="1"/>
    <xf numFmtId="0" fontId="0" fillId="2" borderId="2" xfId="0" applyFill="1" applyBorder="1"/>
    <xf numFmtId="0" fontId="0" fillId="0" borderId="2" xfId="0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21"/>
  <sheetViews>
    <sheetView tabSelected="1" topLeftCell="A2856" workbookViewId="0">
      <selection activeCell="H2870" sqref="H2870:I2870"/>
    </sheetView>
  </sheetViews>
  <sheetFormatPr defaultRowHeight="15" x14ac:dyDescent="0.25"/>
  <cols>
    <col min="3" max="3" width="10.28515625" customWidth="1"/>
  </cols>
  <sheetData>
    <row r="1" spans="1:4" x14ac:dyDescent="0.25">
      <c r="A1" s="1" t="s">
        <v>0</v>
      </c>
      <c r="B1" s="1" t="s">
        <v>53</v>
      </c>
      <c r="C1" s="1" t="s">
        <v>2</v>
      </c>
      <c r="D1" s="1" t="s">
        <v>18</v>
      </c>
    </row>
    <row r="2" spans="1:4" x14ac:dyDescent="0.25">
      <c r="A2" s="2">
        <v>36526</v>
      </c>
      <c r="B2" s="1" t="s">
        <v>1</v>
      </c>
      <c r="C2" s="1">
        <f>(237.3*(1))*(1000)</f>
        <v>237300</v>
      </c>
      <c r="D2" s="1">
        <v>0</v>
      </c>
    </row>
    <row r="3" spans="1:4" x14ac:dyDescent="0.25">
      <c r="A3" s="2">
        <v>36557</v>
      </c>
      <c r="B3" s="1" t="s">
        <v>1</v>
      </c>
      <c r="C3" s="1">
        <f>(238.2*(1))*(1000)</f>
        <v>238200</v>
      </c>
      <c r="D3" s="1">
        <v>0</v>
      </c>
    </row>
    <row r="4" spans="1:4" x14ac:dyDescent="0.25">
      <c r="A4" s="2">
        <v>36586</v>
      </c>
      <c r="B4" s="1" t="s">
        <v>1</v>
      </c>
      <c r="C4" s="1">
        <f>(239.7*(1))*(1000)</f>
        <v>239700</v>
      </c>
      <c r="D4" s="1">
        <v>0</v>
      </c>
    </row>
    <row r="5" spans="1:4" x14ac:dyDescent="0.25">
      <c r="A5" s="2">
        <v>36617</v>
      </c>
      <c r="B5" s="1" t="s">
        <v>1</v>
      </c>
      <c r="C5" s="1">
        <f>(239.4*(1))*(1000)</f>
        <v>239400</v>
      </c>
      <c r="D5" s="1">
        <v>0</v>
      </c>
    </row>
    <row r="6" spans="1:4" x14ac:dyDescent="0.25">
      <c r="A6" s="2">
        <v>36647</v>
      </c>
      <c r="B6" s="1" t="s">
        <v>1</v>
      </c>
      <c r="C6" s="1">
        <f>(239.4*(1))*(1000)</f>
        <v>239400</v>
      </c>
      <c r="D6" s="1">
        <v>0</v>
      </c>
    </row>
    <row r="7" spans="1:4" x14ac:dyDescent="0.25">
      <c r="A7" s="2">
        <v>36678</v>
      </c>
      <c r="B7" s="1" t="s">
        <v>1</v>
      </c>
      <c r="C7" s="1">
        <f>(237.5*(1))*(1000)</f>
        <v>237500</v>
      </c>
      <c r="D7" s="1">
        <v>0</v>
      </c>
    </row>
    <row r="8" spans="1:4" x14ac:dyDescent="0.25">
      <c r="A8" s="2">
        <v>36708</v>
      </c>
      <c r="B8" s="1" t="s">
        <v>1</v>
      </c>
      <c r="C8" s="1">
        <f>(239.3*(1))*(1000)</f>
        <v>239300</v>
      </c>
      <c r="D8" s="1">
        <v>0</v>
      </c>
    </row>
    <row r="9" spans="1:4" x14ac:dyDescent="0.25">
      <c r="A9" s="2">
        <v>36739</v>
      </c>
      <c r="B9" s="1" t="s">
        <v>1</v>
      </c>
      <c r="C9" s="1">
        <f>(240.5*(1))*(1000)</f>
        <v>240500</v>
      </c>
      <c r="D9" s="1">
        <v>0</v>
      </c>
    </row>
    <row r="10" spans="1:4" x14ac:dyDescent="0.25">
      <c r="A10" s="2">
        <v>36770</v>
      </c>
      <c r="B10" s="1" t="s">
        <v>1</v>
      </c>
      <c r="C10" s="1">
        <f>(239.2*(1))*(1000)</f>
        <v>239200</v>
      </c>
      <c r="D10" s="1">
        <v>0</v>
      </c>
    </row>
    <row r="11" spans="1:4" x14ac:dyDescent="0.25">
      <c r="A11" s="2">
        <v>36800</v>
      </c>
      <c r="B11" s="1" t="s">
        <v>1</v>
      </c>
      <c r="C11" s="1">
        <f>(240.4*(1))*(1000)</f>
        <v>240400</v>
      </c>
      <c r="D11" s="1">
        <v>0</v>
      </c>
    </row>
    <row r="12" spans="1:4" x14ac:dyDescent="0.25">
      <c r="A12" s="2">
        <v>36831</v>
      </c>
      <c r="B12" s="1" t="s">
        <v>1</v>
      </c>
      <c r="C12" s="1">
        <f>(240.3*(1))*(1000)</f>
        <v>240300</v>
      </c>
      <c r="D12" s="1">
        <v>0</v>
      </c>
    </row>
    <row r="13" spans="1:4" x14ac:dyDescent="0.25">
      <c r="A13" s="2">
        <v>36861</v>
      </c>
      <c r="B13" s="1" t="s">
        <v>1</v>
      </c>
      <c r="C13" s="1">
        <f>(241.6*(1))*(1000)</f>
        <v>241600</v>
      </c>
      <c r="D13" s="1">
        <v>0</v>
      </c>
    </row>
    <row r="14" spans="1:4" x14ac:dyDescent="0.25">
      <c r="A14" s="2">
        <v>36892</v>
      </c>
      <c r="B14" s="1" t="s">
        <v>1</v>
      </c>
      <c r="C14" s="1">
        <f>(242.6*(1))*(1000)</f>
        <v>242600</v>
      </c>
      <c r="D14" s="1">
        <v>0</v>
      </c>
    </row>
    <row r="15" spans="1:4" x14ac:dyDescent="0.25">
      <c r="A15" s="2">
        <v>36923</v>
      </c>
      <c r="B15" s="1" t="s">
        <v>1</v>
      </c>
      <c r="C15" s="1">
        <f>(243.5*(1))*(1000)</f>
        <v>243500</v>
      </c>
      <c r="D15" s="1">
        <v>0</v>
      </c>
    </row>
    <row r="16" spans="1:4" x14ac:dyDescent="0.25">
      <c r="A16" s="2">
        <v>36951</v>
      </c>
      <c r="B16" s="1" t="s">
        <v>1</v>
      </c>
      <c r="C16" s="1">
        <f>(244.1*(1))*(1000)</f>
        <v>244100</v>
      </c>
      <c r="D16" s="1">
        <v>0</v>
      </c>
    </row>
    <row r="17" spans="1:4" x14ac:dyDescent="0.25">
      <c r="A17" s="2">
        <v>36982</v>
      </c>
      <c r="B17" s="1" t="s">
        <v>1</v>
      </c>
      <c r="C17" s="1">
        <f>(244.5*(1))*(1000)</f>
        <v>244500</v>
      </c>
      <c r="D17" s="1">
        <v>0</v>
      </c>
    </row>
    <row r="18" spans="1:4" x14ac:dyDescent="0.25">
      <c r="A18" s="2">
        <v>37012</v>
      </c>
      <c r="B18" s="1" t="s">
        <v>1</v>
      </c>
      <c r="C18" s="1">
        <f>(245.2*(1))*(1000)</f>
        <v>245200</v>
      </c>
      <c r="D18" s="1">
        <v>0</v>
      </c>
    </row>
    <row r="19" spans="1:4" x14ac:dyDescent="0.25">
      <c r="A19" s="2">
        <v>37043</v>
      </c>
      <c r="B19" s="1" t="s">
        <v>1</v>
      </c>
      <c r="C19" s="1">
        <f>(245.1*(1))*(1000)</f>
        <v>245100</v>
      </c>
      <c r="D19" s="1">
        <v>0</v>
      </c>
    </row>
    <row r="20" spans="1:4" x14ac:dyDescent="0.25">
      <c r="A20" s="2">
        <v>37073</v>
      </c>
      <c r="B20" s="1" t="s">
        <v>1</v>
      </c>
      <c r="C20" s="1">
        <f>(245.8*(1))*(1000)</f>
        <v>245800</v>
      </c>
      <c r="D20" s="1">
        <v>0</v>
      </c>
    </row>
    <row r="21" spans="1:4" x14ac:dyDescent="0.25">
      <c r="A21" s="2">
        <v>37104</v>
      </c>
      <c r="B21" s="1" t="s">
        <v>1</v>
      </c>
      <c r="C21" s="1">
        <f>(247.2*(1))*(1000)</f>
        <v>247200</v>
      </c>
      <c r="D21" s="1">
        <v>0</v>
      </c>
    </row>
    <row r="22" spans="1:4" x14ac:dyDescent="0.25">
      <c r="A22" s="2">
        <v>37135</v>
      </c>
      <c r="B22" s="1" t="s">
        <v>1</v>
      </c>
      <c r="C22" s="1">
        <f>(245.7*(1))*(1000)</f>
        <v>245700</v>
      </c>
      <c r="D22" s="1">
        <v>0</v>
      </c>
    </row>
    <row r="23" spans="1:4" x14ac:dyDescent="0.25">
      <c r="A23" s="2">
        <v>37165</v>
      </c>
      <c r="B23" s="1" t="s">
        <v>1</v>
      </c>
      <c r="C23" s="1">
        <f>(246.4*(1))*(1000)</f>
        <v>246400</v>
      </c>
      <c r="D23" s="1">
        <v>0</v>
      </c>
    </row>
    <row r="24" spans="1:4" x14ac:dyDescent="0.25">
      <c r="A24" s="2">
        <v>37196</v>
      </c>
      <c r="B24" s="1" t="s">
        <v>1</v>
      </c>
      <c r="C24" s="1">
        <f>(247.6*(1))*(1000)</f>
        <v>247600</v>
      </c>
      <c r="D24" s="1">
        <v>0</v>
      </c>
    </row>
    <row r="25" spans="1:4" x14ac:dyDescent="0.25">
      <c r="A25" s="2">
        <v>37226</v>
      </c>
      <c r="B25" s="1" t="s">
        <v>1</v>
      </c>
      <c r="C25" s="1">
        <f>(247.6*(1))*(1000)</f>
        <v>247600</v>
      </c>
      <c r="D25" s="1">
        <v>0</v>
      </c>
    </row>
    <row r="26" spans="1:4" x14ac:dyDescent="0.25">
      <c r="A26" s="2">
        <v>37257</v>
      </c>
      <c r="B26" s="1" t="s">
        <v>1</v>
      </c>
      <c r="C26" s="1">
        <f>(247.3*(1))*(1000)</f>
        <v>247300</v>
      </c>
      <c r="D26" s="1">
        <v>0</v>
      </c>
    </row>
    <row r="27" spans="1:4" x14ac:dyDescent="0.25">
      <c r="A27" s="2">
        <v>37288</v>
      </c>
      <c r="B27" s="1" t="s">
        <v>1</v>
      </c>
      <c r="C27" s="1">
        <f>(247.5*(1))*(1000)</f>
        <v>247500</v>
      </c>
      <c r="D27" s="1">
        <v>0</v>
      </c>
    </row>
    <row r="28" spans="1:4" x14ac:dyDescent="0.25">
      <c r="A28" s="2">
        <v>37316</v>
      </c>
      <c r="B28" s="1" t="s">
        <v>1</v>
      </c>
      <c r="C28" s="1">
        <f>(247.3*(1))*(1000)</f>
        <v>247300</v>
      </c>
      <c r="D28" s="1">
        <v>0</v>
      </c>
    </row>
    <row r="29" spans="1:4" x14ac:dyDescent="0.25">
      <c r="A29" s="2">
        <v>37347</v>
      </c>
      <c r="B29" s="1" t="s">
        <v>1</v>
      </c>
      <c r="C29" s="1">
        <f>(247.5*(1))*(1000)</f>
        <v>247500</v>
      </c>
      <c r="D29" s="1">
        <v>0</v>
      </c>
    </row>
    <row r="30" spans="1:4" x14ac:dyDescent="0.25">
      <c r="A30" s="2">
        <v>37377</v>
      </c>
      <c r="B30" s="1" t="s">
        <v>1</v>
      </c>
      <c r="C30" s="1">
        <f>(248.1*(1))*(1000)</f>
        <v>248100</v>
      </c>
      <c r="D30" s="1">
        <v>0</v>
      </c>
    </row>
    <row r="31" spans="1:4" x14ac:dyDescent="0.25">
      <c r="A31" s="2">
        <v>37408</v>
      </c>
      <c r="B31" s="1" t="s">
        <v>1</v>
      </c>
      <c r="C31" s="1">
        <f>(247.8*(1))*(1000)</f>
        <v>247800</v>
      </c>
      <c r="D31" s="1">
        <v>0</v>
      </c>
    </row>
    <row r="32" spans="1:4" x14ac:dyDescent="0.25">
      <c r="A32" s="2">
        <v>37438</v>
      </c>
      <c r="B32" s="1" t="s">
        <v>1</v>
      </c>
      <c r="C32" s="1">
        <f>(248.3*(1))*(1000)</f>
        <v>248300</v>
      </c>
      <c r="D32" s="1">
        <v>0</v>
      </c>
    </row>
    <row r="33" spans="1:4" x14ac:dyDescent="0.25">
      <c r="A33" s="2">
        <v>37469</v>
      </c>
      <c r="B33" s="1" t="s">
        <v>1</v>
      </c>
      <c r="C33" s="1">
        <f>(247.9*(1))*(1000)</f>
        <v>247900</v>
      </c>
      <c r="D33" s="1">
        <v>0</v>
      </c>
    </row>
    <row r="34" spans="1:4" x14ac:dyDescent="0.25">
      <c r="A34" s="2">
        <v>37500</v>
      </c>
      <c r="B34" s="1" t="s">
        <v>1</v>
      </c>
      <c r="C34" s="1">
        <f>(248.7*(1))*(1000)</f>
        <v>248700</v>
      </c>
      <c r="D34" s="1">
        <v>0</v>
      </c>
    </row>
    <row r="35" spans="1:4" x14ac:dyDescent="0.25">
      <c r="A35" s="2">
        <v>37530</v>
      </c>
      <c r="B35" s="1" t="s">
        <v>1</v>
      </c>
      <c r="C35" s="1">
        <f>(248.2*(1))*(1000)</f>
        <v>248200</v>
      </c>
      <c r="D35" s="1">
        <v>0</v>
      </c>
    </row>
    <row r="36" spans="1:4" x14ac:dyDescent="0.25">
      <c r="A36" s="2">
        <v>37561</v>
      </c>
      <c r="B36" s="1" t="s">
        <v>1</v>
      </c>
      <c r="C36" s="1">
        <f>(248.5*(1))*(1000)</f>
        <v>248500</v>
      </c>
      <c r="D36" s="1">
        <v>0</v>
      </c>
    </row>
    <row r="37" spans="1:4" x14ac:dyDescent="0.25">
      <c r="A37" s="2">
        <v>37591</v>
      </c>
      <c r="B37" s="1" t="s">
        <v>1</v>
      </c>
      <c r="C37" s="1">
        <f>(248.4*(1))*(1000)</f>
        <v>248400</v>
      </c>
      <c r="D37" s="1">
        <v>0</v>
      </c>
    </row>
    <row r="38" spans="1:4" x14ac:dyDescent="0.25">
      <c r="A38" s="2">
        <v>37622</v>
      </c>
      <c r="B38" s="1" t="s">
        <v>1</v>
      </c>
      <c r="C38" s="1">
        <f>(248.1*(1))*(1000)</f>
        <v>248100</v>
      </c>
      <c r="D38" s="1">
        <v>0</v>
      </c>
    </row>
    <row r="39" spans="1:4" x14ac:dyDescent="0.25">
      <c r="A39" s="2">
        <v>37653</v>
      </c>
      <c r="B39" s="1" t="s">
        <v>1</v>
      </c>
      <c r="C39" s="1">
        <f>(247.9*(1))*(1000)</f>
        <v>247900</v>
      </c>
      <c r="D39" s="1">
        <v>0</v>
      </c>
    </row>
    <row r="40" spans="1:4" x14ac:dyDescent="0.25">
      <c r="A40" s="2">
        <v>37681</v>
      </c>
      <c r="B40" s="1" t="s">
        <v>1</v>
      </c>
      <c r="C40" s="1">
        <f>(246.9*(1))*(1000)</f>
        <v>246900</v>
      </c>
      <c r="D40" s="1">
        <v>0</v>
      </c>
    </row>
    <row r="41" spans="1:4" x14ac:dyDescent="0.25">
      <c r="A41" s="2">
        <v>37712</v>
      </c>
      <c r="B41" s="1" t="s">
        <v>1</v>
      </c>
      <c r="C41" s="1">
        <f>(248.1*(1))*(1000)</f>
        <v>248100</v>
      </c>
      <c r="D41" s="1">
        <v>0</v>
      </c>
    </row>
    <row r="42" spans="1:4" x14ac:dyDescent="0.25">
      <c r="A42" s="2">
        <v>37742</v>
      </c>
      <c r="B42" s="1" t="s">
        <v>1</v>
      </c>
      <c r="C42" s="1">
        <f>(248.7*(1))*(1000)</f>
        <v>248700</v>
      </c>
      <c r="D42" s="1">
        <v>0</v>
      </c>
    </row>
    <row r="43" spans="1:4" x14ac:dyDescent="0.25">
      <c r="A43" s="2">
        <v>37773</v>
      </c>
      <c r="B43" s="1" t="s">
        <v>1</v>
      </c>
      <c r="C43" s="1">
        <f>(250.1*(1))*(1000)</f>
        <v>250100</v>
      </c>
      <c r="D43" s="1">
        <v>0</v>
      </c>
    </row>
    <row r="44" spans="1:4" x14ac:dyDescent="0.25">
      <c r="A44" s="2">
        <v>37803</v>
      </c>
      <c r="B44" s="1" t="s">
        <v>1</v>
      </c>
      <c r="C44" s="1">
        <f>(250.2*(1))*(1000)</f>
        <v>250200</v>
      </c>
      <c r="D44" s="1">
        <v>0</v>
      </c>
    </row>
    <row r="45" spans="1:4" x14ac:dyDescent="0.25">
      <c r="A45" s="2">
        <v>37834</v>
      </c>
      <c r="B45" s="1" t="s">
        <v>1</v>
      </c>
      <c r="C45" s="1">
        <f>(251.3*(1))*(1000)</f>
        <v>251300</v>
      </c>
      <c r="D45" s="1">
        <v>0</v>
      </c>
    </row>
    <row r="46" spans="1:4" x14ac:dyDescent="0.25">
      <c r="A46" s="2">
        <v>37865</v>
      </c>
      <c r="B46" s="1" t="s">
        <v>1</v>
      </c>
      <c r="C46" s="1">
        <f>(252.1*(1))*(1000)</f>
        <v>252100</v>
      </c>
      <c r="D46" s="1">
        <v>0</v>
      </c>
    </row>
    <row r="47" spans="1:4" x14ac:dyDescent="0.25">
      <c r="A47" s="2">
        <v>37895</v>
      </c>
      <c r="B47" s="1" t="s">
        <v>1</v>
      </c>
      <c r="C47" s="1">
        <f>(252.9*(1))*(1000)</f>
        <v>252900</v>
      </c>
      <c r="D47" s="1">
        <v>0</v>
      </c>
    </row>
    <row r="48" spans="1:4" x14ac:dyDescent="0.25">
      <c r="A48" s="2">
        <v>37926</v>
      </c>
      <c r="B48" s="1" t="s">
        <v>1</v>
      </c>
      <c r="C48" s="1">
        <f>(252.3*(1))*(1000)</f>
        <v>252300</v>
      </c>
      <c r="D48" s="1">
        <v>0</v>
      </c>
    </row>
    <row r="49" spans="1:4" x14ac:dyDescent="0.25">
      <c r="A49" s="2">
        <v>37956</v>
      </c>
      <c r="B49" s="1" t="s">
        <v>1</v>
      </c>
      <c r="C49" s="1">
        <f>(252.6*(1))*(1000)</f>
        <v>252600</v>
      </c>
      <c r="D49" s="1">
        <v>0</v>
      </c>
    </row>
    <row r="50" spans="1:4" x14ac:dyDescent="0.25">
      <c r="A50" s="2">
        <v>37987</v>
      </c>
      <c r="B50" s="1" t="s">
        <v>1</v>
      </c>
      <c r="C50" s="1">
        <f>(253.2*(1))*(1000)</f>
        <v>253200</v>
      </c>
      <c r="D50" s="1">
        <v>0</v>
      </c>
    </row>
    <row r="51" spans="1:4" x14ac:dyDescent="0.25">
      <c r="A51" s="2">
        <v>38018</v>
      </c>
      <c r="B51" s="1" t="s">
        <v>1</v>
      </c>
      <c r="C51" s="1">
        <f>(253.3*(1))*(1000)</f>
        <v>253300</v>
      </c>
      <c r="D51" s="1">
        <v>0</v>
      </c>
    </row>
    <row r="52" spans="1:4" x14ac:dyDescent="0.25">
      <c r="A52" s="2">
        <v>38047</v>
      </c>
      <c r="B52" s="1" t="s">
        <v>1</v>
      </c>
      <c r="C52" s="1">
        <f>(253.8*(1))*(1000)</f>
        <v>253800</v>
      </c>
      <c r="D52" s="1">
        <v>0</v>
      </c>
    </row>
    <row r="53" spans="1:4" x14ac:dyDescent="0.25">
      <c r="A53" s="2">
        <v>38078</v>
      </c>
      <c r="B53" s="1" t="s">
        <v>1</v>
      </c>
      <c r="C53" s="1">
        <f>(255.3*(1))*(1000)</f>
        <v>255300</v>
      </c>
      <c r="D53" s="1">
        <v>0</v>
      </c>
    </row>
    <row r="54" spans="1:4" x14ac:dyDescent="0.25">
      <c r="A54" s="2">
        <v>38108</v>
      </c>
      <c r="B54" s="1" t="s">
        <v>1</v>
      </c>
      <c r="C54" s="1">
        <f>(254.5*(1))*(1000)</f>
        <v>254500</v>
      </c>
      <c r="D54" s="1">
        <v>0</v>
      </c>
    </row>
    <row r="55" spans="1:4" x14ac:dyDescent="0.25">
      <c r="A55" s="2">
        <v>38139</v>
      </c>
      <c r="B55" s="1" t="s">
        <v>1</v>
      </c>
      <c r="C55" s="1">
        <f>(255.6*(1))*(1000)</f>
        <v>255600</v>
      </c>
      <c r="D55" s="1">
        <v>0</v>
      </c>
    </row>
    <row r="56" spans="1:4" x14ac:dyDescent="0.25">
      <c r="A56" s="2">
        <v>38169</v>
      </c>
      <c r="B56" s="1" t="s">
        <v>1</v>
      </c>
      <c r="C56" s="1">
        <f>(256*(1))*(1000)</f>
        <v>256000</v>
      </c>
      <c r="D56" s="1">
        <v>0</v>
      </c>
    </row>
    <row r="57" spans="1:4" x14ac:dyDescent="0.25">
      <c r="A57" s="2">
        <v>38200</v>
      </c>
      <c r="B57" s="1" t="s">
        <v>1</v>
      </c>
      <c r="C57" s="1">
        <f>(256.2*(1))*(1000)</f>
        <v>256200</v>
      </c>
      <c r="D57" s="1">
        <v>0</v>
      </c>
    </row>
    <row r="58" spans="1:4" x14ac:dyDescent="0.25">
      <c r="A58" s="2">
        <v>38231</v>
      </c>
      <c r="B58" s="1" t="s">
        <v>1</v>
      </c>
      <c r="C58" s="1">
        <f>(255*(1))*(1000)</f>
        <v>255000</v>
      </c>
      <c r="D58" s="1">
        <v>0</v>
      </c>
    </row>
    <row r="59" spans="1:4" x14ac:dyDescent="0.25">
      <c r="A59" s="2">
        <v>38261</v>
      </c>
      <c r="B59" s="1" t="s">
        <v>1</v>
      </c>
      <c r="C59" s="1">
        <f>(256.5*(1))*(1000)</f>
        <v>256500</v>
      </c>
      <c r="D59" s="1">
        <v>0</v>
      </c>
    </row>
    <row r="60" spans="1:4" x14ac:dyDescent="0.25">
      <c r="A60" s="2">
        <v>38292</v>
      </c>
      <c r="B60" s="1" t="s">
        <v>1</v>
      </c>
      <c r="C60" s="1">
        <f>(257.8*(1))*(1000)</f>
        <v>257800</v>
      </c>
      <c r="D60" s="1">
        <v>0</v>
      </c>
    </row>
    <row r="61" spans="1:4" x14ac:dyDescent="0.25">
      <c r="A61" s="2">
        <v>38322</v>
      </c>
      <c r="B61" s="1" t="s">
        <v>1</v>
      </c>
      <c r="C61" s="1">
        <f>(258.2*(1))*(1000)</f>
        <v>258200</v>
      </c>
      <c r="D61" s="1">
        <v>0</v>
      </c>
    </row>
    <row r="62" spans="1:4" x14ac:dyDescent="0.25">
      <c r="A62" s="2">
        <v>38353</v>
      </c>
      <c r="B62" s="1" t="s">
        <v>1</v>
      </c>
      <c r="C62" s="1">
        <f>(258.7*(1))*(1000)</f>
        <v>258700</v>
      </c>
      <c r="D62" s="1">
        <v>0</v>
      </c>
    </row>
    <row r="63" spans="1:4" x14ac:dyDescent="0.25">
      <c r="A63" s="2">
        <v>38384</v>
      </c>
      <c r="B63" s="1" t="s">
        <v>1</v>
      </c>
      <c r="C63" s="1">
        <f>(259.5*(1))*(1000)</f>
        <v>259500</v>
      </c>
      <c r="D63" s="1">
        <v>0</v>
      </c>
    </row>
    <row r="64" spans="1:4" x14ac:dyDescent="0.25">
      <c r="A64" s="2">
        <v>38412</v>
      </c>
      <c r="B64" s="1" t="s">
        <v>1</v>
      </c>
      <c r="C64" s="1">
        <f>(261*(1))*(1000)</f>
        <v>261000</v>
      </c>
      <c r="D64" s="1">
        <v>0</v>
      </c>
    </row>
    <row r="65" spans="1:4" x14ac:dyDescent="0.25">
      <c r="A65" s="2">
        <v>38443</v>
      </c>
      <c r="B65" s="1" t="s">
        <v>1</v>
      </c>
      <c r="C65" s="1">
        <f>(261.8*(1))*(1000)</f>
        <v>261800</v>
      </c>
      <c r="D65" s="1">
        <v>0</v>
      </c>
    </row>
    <row r="66" spans="1:4" x14ac:dyDescent="0.25">
      <c r="A66" s="2">
        <v>38473</v>
      </c>
      <c r="B66" s="1" t="s">
        <v>1</v>
      </c>
      <c r="C66" s="1">
        <f>(262.3*(1))*(1000)</f>
        <v>262300</v>
      </c>
      <c r="D66" s="1">
        <v>0</v>
      </c>
    </row>
    <row r="67" spans="1:4" x14ac:dyDescent="0.25">
      <c r="A67" s="2">
        <v>38504</v>
      </c>
      <c r="B67" s="1" t="s">
        <v>1</v>
      </c>
      <c r="C67" s="1">
        <f>(262.1*(1))*(1000)</f>
        <v>262100.00000000003</v>
      </c>
      <c r="D67" s="1">
        <v>0</v>
      </c>
    </row>
    <row r="68" spans="1:4" x14ac:dyDescent="0.25">
      <c r="A68" s="2">
        <v>38534</v>
      </c>
      <c r="B68" s="1" t="s">
        <v>1</v>
      </c>
      <c r="C68" s="1">
        <f>(264.4*(1))*(1000)</f>
        <v>264400</v>
      </c>
      <c r="D68" s="1">
        <v>0</v>
      </c>
    </row>
    <row r="69" spans="1:4" x14ac:dyDescent="0.25">
      <c r="A69" s="2">
        <v>38565</v>
      </c>
      <c r="B69" s="1" t="s">
        <v>1</v>
      </c>
      <c r="C69" s="1">
        <f>(265.9*(1))*(1000)</f>
        <v>265900</v>
      </c>
      <c r="D69" s="1">
        <v>0</v>
      </c>
    </row>
    <row r="70" spans="1:4" x14ac:dyDescent="0.25">
      <c r="A70" s="2">
        <v>38596</v>
      </c>
      <c r="B70" s="1" t="s">
        <v>1</v>
      </c>
      <c r="C70" s="1">
        <f>(266.6*(1))*(1000)</f>
        <v>266600</v>
      </c>
      <c r="D70" s="1">
        <v>0</v>
      </c>
    </row>
    <row r="71" spans="1:4" x14ac:dyDescent="0.25">
      <c r="A71" s="2">
        <v>38626</v>
      </c>
      <c r="B71" s="1" t="s">
        <v>1</v>
      </c>
      <c r="C71" s="1">
        <f>(267.5*(1))*(1000)</f>
        <v>267500</v>
      </c>
      <c r="D71" s="1">
        <v>0</v>
      </c>
    </row>
    <row r="72" spans="1:4" x14ac:dyDescent="0.25">
      <c r="A72" s="2">
        <v>38657</v>
      </c>
      <c r="B72" s="1" t="s">
        <v>1</v>
      </c>
      <c r="C72" s="1">
        <f>(268.2*(1))*(1000)</f>
        <v>268200</v>
      </c>
      <c r="D72" s="1">
        <v>0</v>
      </c>
    </row>
    <row r="73" spans="1:4" x14ac:dyDescent="0.25">
      <c r="A73" s="2">
        <v>38687</v>
      </c>
      <c r="B73" s="1" t="s">
        <v>1</v>
      </c>
      <c r="C73" s="1">
        <f>(269.2*(1))*(1000)</f>
        <v>269200</v>
      </c>
      <c r="D73" s="1">
        <v>0</v>
      </c>
    </row>
    <row r="74" spans="1:4" x14ac:dyDescent="0.25">
      <c r="A74" s="2">
        <v>38718</v>
      </c>
      <c r="B74" s="1" t="s">
        <v>1</v>
      </c>
      <c r="C74" s="1">
        <f>(271.5*(1))*(1000)</f>
        <v>271500</v>
      </c>
      <c r="D74" s="1">
        <v>0</v>
      </c>
    </row>
    <row r="75" spans="1:4" x14ac:dyDescent="0.25">
      <c r="A75" s="2">
        <v>38749</v>
      </c>
      <c r="B75" s="1" t="s">
        <v>1</v>
      </c>
      <c r="C75" s="1">
        <f>(272.7*(1))*(1000)</f>
        <v>272700</v>
      </c>
      <c r="D75" s="1">
        <v>0</v>
      </c>
    </row>
    <row r="76" spans="1:4" x14ac:dyDescent="0.25">
      <c r="A76" s="2">
        <v>38777</v>
      </c>
      <c r="B76" s="1" t="s">
        <v>1</v>
      </c>
      <c r="C76" s="1">
        <f>(274.1*(1))*(1000)</f>
        <v>274100</v>
      </c>
      <c r="D76" s="1">
        <v>0</v>
      </c>
    </row>
    <row r="77" spans="1:4" x14ac:dyDescent="0.25">
      <c r="A77" s="2">
        <v>38808</v>
      </c>
      <c r="B77" s="1" t="s">
        <v>1</v>
      </c>
      <c r="C77" s="1">
        <f>(275.4*(1))*(1000)</f>
        <v>275400</v>
      </c>
      <c r="D77" s="1">
        <v>0</v>
      </c>
    </row>
    <row r="78" spans="1:4" x14ac:dyDescent="0.25">
      <c r="A78" s="2">
        <v>38838</v>
      </c>
      <c r="B78" s="1" t="s">
        <v>1</v>
      </c>
      <c r="C78" s="1">
        <f>(276.4*(1))*(1000)</f>
        <v>276400</v>
      </c>
      <c r="D78" s="1">
        <v>0</v>
      </c>
    </row>
    <row r="79" spans="1:4" x14ac:dyDescent="0.25">
      <c r="A79" s="2">
        <v>38869</v>
      </c>
      <c r="B79" s="1" t="s">
        <v>1</v>
      </c>
      <c r="C79" s="1">
        <f>(277.5*(1))*(1000)</f>
        <v>277500</v>
      </c>
      <c r="D79" s="1">
        <v>0</v>
      </c>
    </row>
    <row r="80" spans="1:4" x14ac:dyDescent="0.25">
      <c r="A80" s="2">
        <v>38899</v>
      </c>
      <c r="B80" s="1" t="s">
        <v>1</v>
      </c>
      <c r="C80" s="1">
        <f>(277.4*(1))*(1000)</f>
        <v>277400</v>
      </c>
      <c r="D80" s="1">
        <v>0</v>
      </c>
    </row>
    <row r="81" spans="1:4" x14ac:dyDescent="0.25">
      <c r="A81" s="2">
        <v>38930</v>
      </c>
      <c r="B81" s="1" t="s">
        <v>1</v>
      </c>
      <c r="C81" s="1">
        <f>(278.9*(1))*(1000)</f>
        <v>278900</v>
      </c>
      <c r="D81" s="1">
        <v>0</v>
      </c>
    </row>
    <row r="82" spans="1:4" x14ac:dyDescent="0.25">
      <c r="A82" s="2">
        <v>38961</v>
      </c>
      <c r="B82" s="1" t="s">
        <v>1</v>
      </c>
      <c r="C82" s="1">
        <f>(279.5*(1))*(1000)</f>
        <v>279500</v>
      </c>
      <c r="D82" s="1">
        <v>0</v>
      </c>
    </row>
    <row r="83" spans="1:4" x14ac:dyDescent="0.25">
      <c r="A83" s="2">
        <v>38991</v>
      </c>
      <c r="B83" s="1" t="s">
        <v>1</v>
      </c>
      <c r="C83" s="1">
        <f>(279.9*(1))*(1000)</f>
        <v>279900</v>
      </c>
      <c r="D83" s="1">
        <v>0</v>
      </c>
    </row>
    <row r="84" spans="1:4" x14ac:dyDescent="0.25">
      <c r="A84" s="2">
        <v>39022</v>
      </c>
      <c r="B84" s="1" t="s">
        <v>1</v>
      </c>
      <c r="C84" s="1">
        <f>(280.9*(1))*(1000)</f>
        <v>280900</v>
      </c>
      <c r="D84" s="1">
        <v>0</v>
      </c>
    </row>
    <row r="85" spans="1:4" x14ac:dyDescent="0.25">
      <c r="A85" s="2">
        <v>39052</v>
      </c>
      <c r="B85" s="1" t="s">
        <v>1</v>
      </c>
      <c r="C85" s="1">
        <f>(283.6*(1))*(1000)</f>
        <v>283600</v>
      </c>
      <c r="D85" s="1">
        <v>0</v>
      </c>
    </row>
    <row r="86" spans="1:4" x14ac:dyDescent="0.25">
      <c r="A86" s="2">
        <v>39083</v>
      </c>
      <c r="B86" s="1" t="s">
        <v>1</v>
      </c>
      <c r="C86" s="1">
        <f>(284.7*(1))*(1000)</f>
        <v>284700</v>
      </c>
      <c r="D86" s="1">
        <v>0</v>
      </c>
    </row>
    <row r="87" spans="1:4" x14ac:dyDescent="0.25">
      <c r="A87" s="2">
        <v>39114</v>
      </c>
      <c r="B87" s="1" t="s">
        <v>1</v>
      </c>
      <c r="C87" s="1">
        <f>(285.4*(1))*(1000)</f>
        <v>285400</v>
      </c>
      <c r="D87" s="1">
        <v>0</v>
      </c>
    </row>
    <row r="88" spans="1:4" x14ac:dyDescent="0.25">
      <c r="A88" s="2">
        <v>39142</v>
      </c>
      <c r="B88" s="1" t="s">
        <v>1</v>
      </c>
      <c r="C88" s="1">
        <f>(287*(1))*(1000)</f>
        <v>287000</v>
      </c>
      <c r="D88" s="1">
        <v>0</v>
      </c>
    </row>
    <row r="89" spans="1:4" x14ac:dyDescent="0.25">
      <c r="A89" s="2">
        <v>39173</v>
      </c>
      <c r="B89" s="1" t="s">
        <v>1</v>
      </c>
      <c r="C89" s="1">
        <f>(286.7*(1))*(1000)</f>
        <v>286700</v>
      </c>
      <c r="D89" s="1">
        <v>0</v>
      </c>
    </row>
    <row r="90" spans="1:4" x14ac:dyDescent="0.25">
      <c r="A90" s="2">
        <v>39203</v>
      </c>
      <c r="B90" s="1" t="s">
        <v>1</v>
      </c>
      <c r="C90" s="1">
        <f>(287.7*(1))*(1000)</f>
        <v>287700</v>
      </c>
      <c r="D90" s="1">
        <v>0</v>
      </c>
    </row>
    <row r="91" spans="1:4" x14ac:dyDescent="0.25">
      <c r="A91" s="2">
        <v>39234</v>
      </c>
      <c r="B91" s="1" t="s">
        <v>1</v>
      </c>
      <c r="C91" s="1">
        <f>(288*(1))*(1000)</f>
        <v>288000</v>
      </c>
      <c r="D91" s="1">
        <v>0</v>
      </c>
    </row>
    <row r="92" spans="1:4" x14ac:dyDescent="0.25">
      <c r="A92" s="2">
        <v>39264</v>
      </c>
      <c r="B92" s="1" t="s">
        <v>1</v>
      </c>
      <c r="C92" s="1">
        <f>(288.9*(1))*(1000)</f>
        <v>288900</v>
      </c>
      <c r="D92" s="1">
        <v>0</v>
      </c>
    </row>
    <row r="93" spans="1:4" x14ac:dyDescent="0.25">
      <c r="A93" s="2">
        <v>39295</v>
      </c>
      <c r="B93" s="1" t="s">
        <v>1</v>
      </c>
      <c r="C93" s="1">
        <f>(289.2*(1))*(1000)</f>
        <v>289200</v>
      </c>
      <c r="D93" s="1">
        <v>0</v>
      </c>
    </row>
    <row r="94" spans="1:4" x14ac:dyDescent="0.25">
      <c r="A94" s="2">
        <v>39326</v>
      </c>
      <c r="B94" s="1" t="s">
        <v>1</v>
      </c>
      <c r="C94" s="1">
        <f>(289.9*(1))*(1000)</f>
        <v>289900</v>
      </c>
      <c r="D94" s="1">
        <v>0</v>
      </c>
    </row>
    <row r="95" spans="1:4" x14ac:dyDescent="0.25">
      <c r="A95" s="2">
        <v>39356</v>
      </c>
      <c r="B95" s="1" t="s">
        <v>1</v>
      </c>
      <c r="C95" s="1">
        <f>(291*(1))*(1000)</f>
        <v>291000</v>
      </c>
      <c r="D95" s="1">
        <v>0</v>
      </c>
    </row>
    <row r="96" spans="1:4" x14ac:dyDescent="0.25">
      <c r="A96" s="2">
        <v>39387</v>
      </c>
      <c r="B96" s="1" t="s">
        <v>1</v>
      </c>
      <c r="C96" s="1">
        <f>(292.9*(1))*(1000)</f>
        <v>292900</v>
      </c>
      <c r="D96" s="1">
        <v>0</v>
      </c>
    </row>
    <row r="97" spans="1:4" x14ac:dyDescent="0.25">
      <c r="A97" s="2">
        <v>39417</v>
      </c>
      <c r="B97" s="1" t="s">
        <v>1</v>
      </c>
      <c r="C97" s="1">
        <f>(294.1*(1))*(1000)</f>
        <v>294100</v>
      </c>
      <c r="D97" s="1">
        <v>0</v>
      </c>
    </row>
    <row r="98" spans="1:4" x14ac:dyDescent="0.25">
      <c r="A98" s="2">
        <v>39448</v>
      </c>
      <c r="B98" s="1" t="s">
        <v>1</v>
      </c>
      <c r="C98" s="1">
        <f>(295.5*(1))*(1000)</f>
        <v>295500</v>
      </c>
      <c r="D98" s="1">
        <v>0</v>
      </c>
    </row>
    <row r="99" spans="1:4" x14ac:dyDescent="0.25">
      <c r="A99" s="2">
        <v>39479</v>
      </c>
      <c r="B99" s="1" t="s">
        <v>1</v>
      </c>
      <c r="C99" s="1">
        <f>(296.1*(1))*(1000)</f>
        <v>296100</v>
      </c>
      <c r="D99" s="1">
        <v>0</v>
      </c>
    </row>
    <row r="100" spans="1:4" x14ac:dyDescent="0.25">
      <c r="A100" s="2">
        <v>39508</v>
      </c>
      <c r="B100" s="1" t="s">
        <v>1</v>
      </c>
      <c r="C100" s="1">
        <f>(296.3*(1))*(1000)</f>
        <v>296300</v>
      </c>
      <c r="D100" s="1">
        <v>0</v>
      </c>
    </row>
    <row r="101" spans="1:4" x14ac:dyDescent="0.25">
      <c r="A101" s="2">
        <v>39539</v>
      </c>
      <c r="B101" s="1" t="s">
        <v>1</v>
      </c>
      <c r="C101" s="1">
        <f>(296.5*(1))*(1000)</f>
        <v>296500</v>
      </c>
      <c r="D101" s="1">
        <v>0</v>
      </c>
    </row>
    <row r="102" spans="1:4" x14ac:dyDescent="0.25">
      <c r="A102" s="2">
        <v>39569</v>
      </c>
      <c r="B102" s="1" t="s">
        <v>1</v>
      </c>
      <c r="C102" s="1">
        <f>(297.7*(1))*(1000)</f>
        <v>297700</v>
      </c>
      <c r="D102" s="1">
        <v>0</v>
      </c>
    </row>
    <row r="103" spans="1:4" x14ac:dyDescent="0.25">
      <c r="A103" s="2">
        <v>39600</v>
      </c>
      <c r="B103" s="1" t="s">
        <v>1</v>
      </c>
      <c r="C103" s="1">
        <f>(297.7*(1))*(1000)</f>
        <v>297700</v>
      </c>
      <c r="D103" s="1">
        <v>0</v>
      </c>
    </row>
    <row r="104" spans="1:4" x14ac:dyDescent="0.25">
      <c r="A104" s="2">
        <v>39630</v>
      </c>
      <c r="B104" s="1" t="s">
        <v>1</v>
      </c>
      <c r="C104" s="1">
        <f>(298.1*(1))*(1000)</f>
        <v>298100</v>
      </c>
      <c r="D104" s="1">
        <v>0</v>
      </c>
    </row>
    <row r="105" spans="1:4" x14ac:dyDescent="0.25">
      <c r="A105" s="2">
        <v>39661</v>
      </c>
      <c r="B105" s="1" t="s">
        <v>1</v>
      </c>
      <c r="C105" s="1">
        <f>(297.7*(1))*(1000)</f>
        <v>297700</v>
      </c>
      <c r="D105" s="1">
        <v>0</v>
      </c>
    </row>
    <row r="106" spans="1:4" x14ac:dyDescent="0.25">
      <c r="A106" s="2">
        <v>39692</v>
      </c>
      <c r="B106" s="1" t="s">
        <v>1</v>
      </c>
      <c r="C106" s="1">
        <f>(298.6*(1))*(1000)</f>
        <v>298600</v>
      </c>
      <c r="D106" s="1">
        <v>0</v>
      </c>
    </row>
    <row r="107" spans="1:4" x14ac:dyDescent="0.25">
      <c r="A107" s="2">
        <v>39722</v>
      </c>
      <c r="B107" s="1" t="s">
        <v>1</v>
      </c>
      <c r="C107" s="1">
        <f>(299.4*(1))*(1000)</f>
        <v>299400</v>
      </c>
      <c r="D107" s="1">
        <v>0</v>
      </c>
    </row>
    <row r="108" spans="1:4" x14ac:dyDescent="0.25">
      <c r="A108" s="2">
        <v>39753</v>
      </c>
      <c r="B108" s="1" t="s">
        <v>1</v>
      </c>
      <c r="C108" s="1">
        <f>(298.4*(1))*(1000)</f>
        <v>298400</v>
      </c>
      <c r="D108" s="1">
        <v>0</v>
      </c>
    </row>
    <row r="109" spans="1:4" x14ac:dyDescent="0.25">
      <c r="A109" s="2">
        <v>39783</v>
      </c>
      <c r="B109" s="1" t="s">
        <v>1</v>
      </c>
      <c r="C109" s="1">
        <f>(297.1*(1))*(1000)</f>
        <v>297100</v>
      </c>
      <c r="D109" s="1">
        <v>0</v>
      </c>
    </row>
    <row r="110" spans="1:4" x14ac:dyDescent="0.25">
      <c r="A110" s="2">
        <v>39814</v>
      </c>
      <c r="B110" s="1" t="s">
        <v>1</v>
      </c>
      <c r="C110" s="1">
        <f>(294.8*(1))*(1000)</f>
        <v>294800</v>
      </c>
      <c r="D110" s="1">
        <v>0</v>
      </c>
    </row>
    <row r="111" spans="1:4" x14ac:dyDescent="0.25">
      <c r="A111" s="2">
        <v>39845</v>
      </c>
      <c r="B111" s="1" t="s">
        <v>1</v>
      </c>
      <c r="C111" s="1">
        <f>(292.3*(1))*(1000)</f>
        <v>292300</v>
      </c>
      <c r="D111" s="1">
        <v>0</v>
      </c>
    </row>
    <row r="112" spans="1:4" x14ac:dyDescent="0.25">
      <c r="A112" s="2">
        <v>39873</v>
      </c>
      <c r="B112" s="1" t="s">
        <v>1</v>
      </c>
      <c r="C112" s="1">
        <f>(290.5*(1))*(1000)</f>
        <v>290500</v>
      </c>
      <c r="D112" s="1">
        <v>0</v>
      </c>
    </row>
    <row r="113" spans="1:4" x14ac:dyDescent="0.25">
      <c r="A113" s="2">
        <v>39904</v>
      </c>
      <c r="B113" s="1" t="s">
        <v>1</v>
      </c>
      <c r="C113" s="1">
        <f>(287*(1))*(1000)</f>
        <v>287000</v>
      </c>
      <c r="D113" s="1">
        <v>0</v>
      </c>
    </row>
    <row r="114" spans="1:4" x14ac:dyDescent="0.25">
      <c r="A114" s="2">
        <v>39934</v>
      </c>
      <c r="B114" s="1" t="s">
        <v>1</v>
      </c>
      <c r="C114" s="1">
        <f>(288.2*(1))*(1000)</f>
        <v>288200</v>
      </c>
      <c r="D114" s="1">
        <v>0</v>
      </c>
    </row>
    <row r="115" spans="1:4" x14ac:dyDescent="0.25">
      <c r="A115" s="2">
        <v>39965</v>
      </c>
      <c r="B115" s="1" t="s">
        <v>1</v>
      </c>
      <c r="C115" s="1">
        <f>(284.9*(1))*(1000)</f>
        <v>284900</v>
      </c>
      <c r="D115" s="1">
        <v>0</v>
      </c>
    </row>
    <row r="116" spans="1:4" x14ac:dyDescent="0.25">
      <c r="A116" s="2">
        <v>39995</v>
      </c>
      <c r="B116" s="1" t="s">
        <v>1</v>
      </c>
      <c r="C116" s="1">
        <f>(283*(1))*(1000)</f>
        <v>283000</v>
      </c>
      <c r="D116" s="1">
        <v>0</v>
      </c>
    </row>
    <row r="117" spans="1:4" x14ac:dyDescent="0.25">
      <c r="A117" s="2">
        <v>40026</v>
      </c>
      <c r="B117" s="1" t="s">
        <v>1</v>
      </c>
      <c r="C117" s="1">
        <f>(281.6*(1))*(1000)</f>
        <v>281600</v>
      </c>
      <c r="D117" s="1">
        <v>0</v>
      </c>
    </row>
    <row r="118" spans="1:4" x14ac:dyDescent="0.25">
      <c r="A118" s="2">
        <v>40057</v>
      </c>
      <c r="B118" s="1" t="s">
        <v>1</v>
      </c>
      <c r="C118" s="1">
        <f>(282.1*(1))*(1000)</f>
        <v>282100</v>
      </c>
      <c r="D118" s="1">
        <v>0</v>
      </c>
    </row>
    <row r="119" spans="1:4" x14ac:dyDescent="0.25">
      <c r="A119" s="2">
        <v>40087</v>
      </c>
      <c r="B119" s="1" t="s">
        <v>1</v>
      </c>
      <c r="C119" s="1">
        <f>(280.1*(1))*(1000)</f>
        <v>280100</v>
      </c>
      <c r="D119" s="1">
        <v>0</v>
      </c>
    </row>
    <row r="120" spans="1:4" x14ac:dyDescent="0.25">
      <c r="A120" s="2">
        <v>40118</v>
      </c>
      <c r="B120" s="1" t="s">
        <v>1</v>
      </c>
      <c r="C120" s="1">
        <f>(279.8*(1))*(1000)</f>
        <v>279800</v>
      </c>
      <c r="D120" s="1">
        <v>0</v>
      </c>
    </row>
    <row r="121" spans="1:4" x14ac:dyDescent="0.25">
      <c r="A121" s="2">
        <v>40148</v>
      </c>
      <c r="B121" s="1" t="s">
        <v>1</v>
      </c>
      <c r="C121" s="1">
        <f>(279.3*(1))*(1000)</f>
        <v>279300</v>
      </c>
      <c r="D121" s="1">
        <v>0</v>
      </c>
    </row>
    <row r="122" spans="1:4" x14ac:dyDescent="0.25">
      <c r="A122" s="2">
        <v>40179</v>
      </c>
      <c r="B122" s="1" t="s">
        <v>1</v>
      </c>
      <c r="C122" s="1">
        <f>(279*(1))*(1000)</f>
        <v>279000</v>
      </c>
      <c r="D122" s="1">
        <v>0</v>
      </c>
    </row>
    <row r="123" spans="1:4" x14ac:dyDescent="0.25">
      <c r="A123" s="2">
        <v>40210</v>
      </c>
      <c r="B123" s="1" t="s">
        <v>1</v>
      </c>
      <c r="C123" s="1">
        <f>(279.6*(1))*(1000)</f>
        <v>279600</v>
      </c>
      <c r="D123" s="1">
        <v>0</v>
      </c>
    </row>
    <row r="124" spans="1:4" x14ac:dyDescent="0.25">
      <c r="A124" s="2">
        <v>40238</v>
      </c>
      <c r="B124" s="1" t="s">
        <v>1</v>
      </c>
      <c r="C124" s="1">
        <f>(280*(1))*(1000)</f>
        <v>280000</v>
      </c>
      <c r="D124" s="1">
        <v>0</v>
      </c>
    </row>
    <row r="125" spans="1:4" x14ac:dyDescent="0.25">
      <c r="A125" s="2">
        <v>40269</v>
      </c>
      <c r="B125" s="1" t="s">
        <v>1</v>
      </c>
      <c r="C125" s="1">
        <f>(281.4*(1))*(1000)</f>
        <v>281400</v>
      </c>
      <c r="D125" s="1">
        <v>0</v>
      </c>
    </row>
    <row r="126" spans="1:4" x14ac:dyDescent="0.25">
      <c r="A126" s="2">
        <v>40299</v>
      </c>
      <c r="B126" s="1" t="s">
        <v>1</v>
      </c>
      <c r="C126" s="1">
        <f>(282.8*(1))*(1000)</f>
        <v>282800</v>
      </c>
      <c r="D126" s="1">
        <v>0</v>
      </c>
    </row>
    <row r="127" spans="1:4" x14ac:dyDescent="0.25">
      <c r="A127" s="2">
        <v>40330</v>
      </c>
      <c r="B127" s="1" t="s">
        <v>1</v>
      </c>
      <c r="C127" s="1">
        <f>(282.3*(1))*(1000)</f>
        <v>282300</v>
      </c>
      <c r="D127" s="1">
        <v>0</v>
      </c>
    </row>
    <row r="128" spans="1:4" x14ac:dyDescent="0.25">
      <c r="A128" s="2">
        <v>40360</v>
      </c>
      <c r="B128" s="1" t="s">
        <v>1</v>
      </c>
      <c r="C128" s="1">
        <f>(281.4*(1))*(1000)</f>
        <v>281400</v>
      </c>
      <c r="D128" s="1">
        <v>0</v>
      </c>
    </row>
    <row r="129" spans="1:4" x14ac:dyDescent="0.25">
      <c r="A129" s="2">
        <v>40391</v>
      </c>
      <c r="B129" s="1" t="s">
        <v>1</v>
      </c>
      <c r="C129" s="1">
        <f>(282.2*(1))*(1000)</f>
        <v>282200</v>
      </c>
      <c r="D129" s="1">
        <v>0</v>
      </c>
    </row>
    <row r="130" spans="1:4" x14ac:dyDescent="0.25">
      <c r="A130" s="2">
        <v>40422</v>
      </c>
      <c r="B130" s="1" t="s">
        <v>1</v>
      </c>
      <c r="C130" s="1">
        <f>(283.3*(1))*(1000)</f>
        <v>283300</v>
      </c>
      <c r="D130" s="1">
        <v>0</v>
      </c>
    </row>
    <row r="131" spans="1:4" x14ac:dyDescent="0.25">
      <c r="A131" s="2">
        <v>40452</v>
      </c>
      <c r="B131" s="1" t="s">
        <v>1</v>
      </c>
      <c r="C131" s="1">
        <f>(284.1*(1))*(1000)</f>
        <v>284100</v>
      </c>
      <c r="D131" s="1">
        <v>0</v>
      </c>
    </row>
    <row r="132" spans="1:4" x14ac:dyDescent="0.25">
      <c r="A132" s="2">
        <v>40483</v>
      </c>
      <c r="B132" s="1" t="s">
        <v>1</v>
      </c>
      <c r="C132" s="1">
        <f>(282.8*(1))*(1000)</f>
        <v>282800</v>
      </c>
      <c r="D132" s="1">
        <v>0</v>
      </c>
    </row>
    <row r="133" spans="1:4" x14ac:dyDescent="0.25">
      <c r="A133" s="2">
        <v>40513</v>
      </c>
      <c r="B133" s="1" t="s">
        <v>1</v>
      </c>
      <c r="C133" s="1">
        <f>(283.1*(1))*(1000)</f>
        <v>283100</v>
      </c>
      <c r="D133" s="1">
        <v>0</v>
      </c>
    </row>
    <row r="134" spans="1:4" x14ac:dyDescent="0.25">
      <c r="A134" s="2">
        <v>40544</v>
      </c>
      <c r="B134" s="1" t="s">
        <v>1</v>
      </c>
      <c r="C134" s="1">
        <f>(282.6*(1))*(1000)</f>
        <v>282600</v>
      </c>
      <c r="D134" s="1">
        <v>0</v>
      </c>
    </row>
    <row r="135" spans="1:4" x14ac:dyDescent="0.25">
      <c r="A135" s="2">
        <v>40575</v>
      </c>
      <c r="B135" s="1" t="s">
        <v>1</v>
      </c>
      <c r="C135" s="1">
        <f>(283*(1))*(1000)</f>
        <v>283000</v>
      </c>
      <c r="D135" s="1">
        <v>0</v>
      </c>
    </row>
    <row r="136" spans="1:4" x14ac:dyDescent="0.25">
      <c r="A136" s="2">
        <v>40603</v>
      </c>
      <c r="B136" s="1" t="s">
        <v>1</v>
      </c>
      <c r="C136" s="1">
        <f>(283.7*(1))*(1000)</f>
        <v>283700</v>
      </c>
      <c r="D136" s="1">
        <v>0</v>
      </c>
    </row>
    <row r="137" spans="1:4" x14ac:dyDescent="0.25">
      <c r="A137" s="2">
        <v>40634</v>
      </c>
      <c r="B137" s="1" t="s">
        <v>1</v>
      </c>
      <c r="C137" s="1">
        <f>(283.6*(1))*(1000)</f>
        <v>283600</v>
      </c>
      <c r="D137" s="1">
        <v>0</v>
      </c>
    </row>
    <row r="138" spans="1:4" x14ac:dyDescent="0.25">
      <c r="A138" s="2">
        <v>40664</v>
      </c>
      <c r="B138" s="1" t="s">
        <v>1</v>
      </c>
      <c r="C138" s="1">
        <f>(284.5*(1))*(1000)</f>
        <v>284500</v>
      </c>
      <c r="D138" s="1">
        <v>0</v>
      </c>
    </row>
    <row r="139" spans="1:4" x14ac:dyDescent="0.25">
      <c r="A139" s="2">
        <v>40695</v>
      </c>
      <c r="B139" s="1" t="s">
        <v>1</v>
      </c>
      <c r="C139" s="1">
        <f>(285*(1))*(1000)</f>
        <v>285000</v>
      </c>
      <c r="D139" s="1">
        <v>0</v>
      </c>
    </row>
    <row r="140" spans="1:4" x14ac:dyDescent="0.25">
      <c r="A140" s="2">
        <v>40725</v>
      </c>
      <c r="B140" s="1" t="s">
        <v>1</v>
      </c>
      <c r="C140" s="1">
        <f>(286.7*(1))*(1000)</f>
        <v>286700</v>
      </c>
      <c r="D140" s="1">
        <v>0</v>
      </c>
    </row>
    <row r="141" spans="1:4" x14ac:dyDescent="0.25">
      <c r="A141" s="2">
        <v>40756</v>
      </c>
      <c r="B141" s="1" t="s">
        <v>1</v>
      </c>
      <c r="C141" s="1">
        <f>(288.4*(1))*(1000)</f>
        <v>288400</v>
      </c>
      <c r="D141" s="1">
        <v>0</v>
      </c>
    </row>
    <row r="142" spans="1:4" x14ac:dyDescent="0.25">
      <c r="A142" s="2">
        <v>40787</v>
      </c>
      <c r="B142" s="1" t="s">
        <v>1</v>
      </c>
      <c r="C142" s="1">
        <f>(288.6*(1))*(1000)</f>
        <v>288600</v>
      </c>
      <c r="D142" s="1">
        <v>0</v>
      </c>
    </row>
    <row r="143" spans="1:4" x14ac:dyDescent="0.25">
      <c r="A143" s="2">
        <v>40817</v>
      </c>
      <c r="B143" s="1" t="s">
        <v>1</v>
      </c>
      <c r="C143" s="1">
        <f>(288.3*(1))*(1000)</f>
        <v>288300</v>
      </c>
      <c r="D143" s="1">
        <v>0</v>
      </c>
    </row>
    <row r="144" spans="1:4" x14ac:dyDescent="0.25">
      <c r="A144" s="2">
        <v>40848</v>
      </c>
      <c r="B144" s="1" t="s">
        <v>1</v>
      </c>
      <c r="C144" s="1">
        <f>(288.6*(1))*(1000)</f>
        <v>288600</v>
      </c>
      <c r="D144" s="1">
        <v>0</v>
      </c>
    </row>
    <row r="145" spans="1:4" x14ac:dyDescent="0.25">
      <c r="A145" s="2">
        <v>40878</v>
      </c>
      <c r="B145" s="1" t="s">
        <v>1</v>
      </c>
      <c r="C145" s="1">
        <f>(289.9*(1))*(1000)</f>
        <v>289900</v>
      </c>
      <c r="D145" s="1">
        <v>0</v>
      </c>
    </row>
    <row r="146" spans="1:4" x14ac:dyDescent="0.25">
      <c r="A146" s="2">
        <v>40909</v>
      </c>
      <c r="B146" s="1" t="s">
        <v>1</v>
      </c>
      <c r="C146" s="1">
        <f>(289.5*(1))*(1000)</f>
        <v>289500</v>
      </c>
      <c r="D146" s="1">
        <v>0</v>
      </c>
    </row>
    <row r="147" spans="1:4" x14ac:dyDescent="0.25">
      <c r="A147" s="2">
        <v>40940</v>
      </c>
      <c r="B147" s="1" t="s">
        <v>1</v>
      </c>
      <c r="C147" s="1">
        <f>(290.1*(1))*(1000)</f>
        <v>290100</v>
      </c>
      <c r="D147" s="1">
        <v>0</v>
      </c>
    </row>
    <row r="148" spans="1:4" x14ac:dyDescent="0.25">
      <c r="A148" s="2">
        <v>40969</v>
      </c>
      <c r="B148" s="1" t="s">
        <v>1</v>
      </c>
      <c r="C148" s="1">
        <f>(289.8*(1))*(1000)</f>
        <v>289800</v>
      </c>
      <c r="D148" s="1">
        <v>0</v>
      </c>
    </row>
    <row r="149" spans="1:4" x14ac:dyDescent="0.25">
      <c r="A149" s="2">
        <v>41000</v>
      </c>
      <c r="B149" s="1" t="s">
        <v>1</v>
      </c>
      <c r="C149" s="1">
        <f>(290.7*(1))*(1000)</f>
        <v>290700</v>
      </c>
      <c r="D149" s="1">
        <v>0</v>
      </c>
    </row>
    <row r="150" spans="1:4" x14ac:dyDescent="0.25">
      <c r="A150" s="2">
        <v>41030</v>
      </c>
      <c r="B150" s="1" t="s">
        <v>1</v>
      </c>
      <c r="C150" s="1">
        <f>(289.4*(1))*(1000)</f>
        <v>289400</v>
      </c>
      <c r="D150" s="1">
        <v>0</v>
      </c>
    </row>
    <row r="151" spans="1:4" x14ac:dyDescent="0.25">
      <c r="A151" s="2">
        <v>41061</v>
      </c>
      <c r="B151" s="1" t="s">
        <v>1</v>
      </c>
      <c r="C151" s="1">
        <f>(288.5*(1))*(1000)</f>
        <v>288500</v>
      </c>
      <c r="D151" s="1">
        <v>0</v>
      </c>
    </row>
    <row r="152" spans="1:4" x14ac:dyDescent="0.25">
      <c r="A152" s="2">
        <v>41091</v>
      </c>
      <c r="B152" s="1" t="s">
        <v>1</v>
      </c>
      <c r="C152" s="1">
        <f>(288.7*(1))*(1000)</f>
        <v>288700</v>
      </c>
      <c r="D152" s="1">
        <v>0</v>
      </c>
    </row>
    <row r="153" spans="1:4" x14ac:dyDescent="0.25">
      <c r="A153" s="2">
        <v>41122</v>
      </c>
      <c r="B153" s="1" t="s">
        <v>1</v>
      </c>
      <c r="C153" s="1">
        <f>(288.9*(1))*(1000)</f>
        <v>288900</v>
      </c>
      <c r="D153" s="1">
        <v>0</v>
      </c>
    </row>
    <row r="154" spans="1:4" x14ac:dyDescent="0.25">
      <c r="A154" s="2">
        <v>41153</v>
      </c>
      <c r="B154" s="1" t="s">
        <v>1</v>
      </c>
      <c r="C154" s="1">
        <f>(288.2*(1))*(1000)</f>
        <v>288200</v>
      </c>
      <c r="D154" s="1">
        <v>0</v>
      </c>
    </row>
    <row r="155" spans="1:4" x14ac:dyDescent="0.25">
      <c r="A155" s="2">
        <v>41183</v>
      </c>
      <c r="B155" s="1" t="s">
        <v>1</v>
      </c>
      <c r="C155" s="1">
        <f>(288.9*(1))*(1000)</f>
        <v>288900</v>
      </c>
      <c r="D155" s="1">
        <v>0</v>
      </c>
    </row>
    <row r="156" spans="1:4" x14ac:dyDescent="0.25">
      <c r="A156" s="2">
        <v>41214</v>
      </c>
      <c r="B156" s="1" t="s">
        <v>1</v>
      </c>
      <c r="C156" s="1">
        <f>(289.2*(1))*(1000)</f>
        <v>289200</v>
      </c>
      <c r="D156" s="1">
        <v>0</v>
      </c>
    </row>
    <row r="157" spans="1:4" x14ac:dyDescent="0.25">
      <c r="A157" s="2">
        <v>41244</v>
      </c>
      <c r="B157" s="1" t="s">
        <v>1</v>
      </c>
      <c r="C157" s="1">
        <f>(289.7*(1))*(1000)</f>
        <v>289700</v>
      </c>
      <c r="D157" s="1">
        <v>0</v>
      </c>
    </row>
    <row r="158" spans="1:4" x14ac:dyDescent="0.25">
      <c r="A158" s="2">
        <v>41275</v>
      </c>
      <c r="B158" s="1" t="s">
        <v>1</v>
      </c>
      <c r="C158" s="1">
        <f>(290.1*(1))*(1000)</f>
        <v>290100</v>
      </c>
      <c r="D158" s="1">
        <v>0</v>
      </c>
    </row>
    <row r="159" spans="1:4" x14ac:dyDescent="0.25">
      <c r="A159" s="2">
        <v>41306</v>
      </c>
      <c r="B159" s="1" t="s">
        <v>1</v>
      </c>
      <c r="C159" s="1">
        <f>(289.8*(1))*(1000)</f>
        <v>289800</v>
      </c>
      <c r="D159" s="1">
        <v>0</v>
      </c>
    </row>
    <row r="160" spans="1:4" x14ac:dyDescent="0.25">
      <c r="A160" s="2">
        <v>41334</v>
      </c>
      <c r="B160" s="1" t="s">
        <v>1</v>
      </c>
      <c r="C160" s="1">
        <f>(289.9*(1))*(1000)</f>
        <v>289900</v>
      </c>
      <c r="D160" s="1">
        <v>0</v>
      </c>
    </row>
    <row r="161" spans="1:4" x14ac:dyDescent="0.25">
      <c r="A161" s="2">
        <v>41365</v>
      </c>
      <c r="B161" s="1" t="s">
        <v>1</v>
      </c>
      <c r="C161" s="1">
        <f>(290.2*(1))*(1000)</f>
        <v>290200</v>
      </c>
      <c r="D161" s="1">
        <v>0</v>
      </c>
    </row>
    <row r="162" spans="1:4" x14ac:dyDescent="0.25">
      <c r="A162" s="2">
        <v>41395</v>
      </c>
      <c r="B162" s="1" t="s">
        <v>1</v>
      </c>
      <c r="C162" s="1">
        <f>(290*(1))*(1000)</f>
        <v>290000</v>
      </c>
      <c r="D162" s="1">
        <v>0</v>
      </c>
    </row>
    <row r="163" spans="1:4" x14ac:dyDescent="0.25">
      <c r="A163" s="2">
        <v>41426</v>
      </c>
      <c r="B163" s="1" t="s">
        <v>1</v>
      </c>
      <c r="C163" s="1">
        <f>(290.5*(1))*(1000)</f>
        <v>290500</v>
      </c>
      <c r="D163" s="1">
        <v>0</v>
      </c>
    </row>
    <row r="164" spans="1:4" x14ac:dyDescent="0.25">
      <c r="A164" s="2">
        <v>41456</v>
      </c>
      <c r="B164" s="1" t="s">
        <v>1</v>
      </c>
      <c r="C164" s="1">
        <f>(290.5*(1))*(1000)</f>
        <v>290500</v>
      </c>
      <c r="D164" s="1">
        <v>0</v>
      </c>
    </row>
    <row r="165" spans="1:4" x14ac:dyDescent="0.25">
      <c r="A165" s="2">
        <v>41487</v>
      </c>
      <c r="B165" s="1" t="s">
        <v>1</v>
      </c>
      <c r="C165" s="1">
        <f>(290.5*(1))*(1000)</f>
        <v>290500</v>
      </c>
      <c r="D165" s="1">
        <v>0</v>
      </c>
    </row>
    <row r="166" spans="1:4" x14ac:dyDescent="0.25">
      <c r="A166" s="2">
        <v>41518</v>
      </c>
      <c r="B166" s="1" t="s">
        <v>1</v>
      </c>
      <c r="C166" s="1">
        <f>(288.9*(1))*(1000)</f>
        <v>288900</v>
      </c>
      <c r="D166" s="1">
        <v>0</v>
      </c>
    </row>
    <row r="167" spans="1:4" x14ac:dyDescent="0.25">
      <c r="A167" s="2">
        <v>41548</v>
      </c>
      <c r="B167" s="1" t="s">
        <v>1</v>
      </c>
      <c r="C167" s="1">
        <f>(291.9*(1))*(1000)</f>
        <v>291900</v>
      </c>
      <c r="D167" s="1">
        <v>0</v>
      </c>
    </row>
    <row r="168" spans="1:4" x14ac:dyDescent="0.25">
      <c r="A168" s="2">
        <v>41579</v>
      </c>
      <c r="B168" s="1" t="s">
        <v>1</v>
      </c>
      <c r="C168" s="1">
        <f>(293.1*(1))*(1000)</f>
        <v>293100</v>
      </c>
      <c r="D168" s="1">
        <v>0</v>
      </c>
    </row>
    <row r="169" spans="1:4" x14ac:dyDescent="0.25">
      <c r="A169" s="2">
        <v>41609</v>
      </c>
      <c r="B169" s="1" t="s">
        <v>1</v>
      </c>
      <c r="C169" s="1">
        <f>(292.9*(1))*(1000)</f>
        <v>292900</v>
      </c>
      <c r="D169" s="1">
        <v>0</v>
      </c>
    </row>
    <row r="170" spans="1:4" x14ac:dyDescent="0.25">
      <c r="A170" s="2">
        <v>41640</v>
      </c>
      <c r="B170" s="1" t="s">
        <v>1</v>
      </c>
      <c r="C170" s="1">
        <f>(293.9*(1))*(1000)</f>
        <v>293900</v>
      </c>
      <c r="D170" s="1">
        <v>0</v>
      </c>
    </row>
    <row r="171" spans="1:4" x14ac:dyDescent="0.25">
      <c r="A171" s="2">
        <v>41671</v>
      </c>
      <c r="B171" s="1" t="s">
        <v>1</v>
      </c>
      <c r="C171" s="1">
        <f>(293*(1))*(1000)</f>
        <v>293000</v>
      </c>
      <c r="D171" s="1">
        <v>0</v>
      </c>
    </row>
    <row r="172" spans="1:4" x14ac:dyDescent="0.25">
      <c r="A172" s="2">
        <v>41699</v>
      </c>
      <c r="B172" s="1" t="s">
        <v>1</v>
      </c>
      <c r="C172" s="1">
        <f>(294.4*(1))*(1000)</f>
        <v>294400</v>
      </c>
      <c r="D172" s="1">
        <v>0</v>
      </c>
    </row>
    <row r="173" spans="1:4" x14ac:dyDescent="0.25">
      <c r="A173" s="2">
        <v>41730</v>
      </c>
      <c r="B173" s="1" t="s">
        <v>1</v>
      </c>
      <c r="C173" s="1">
        <f>(293.7*(1))*(1000)</f>
        <v>293700</v>
      </c>
      <c r="D173" s="1">
        <v>0</v>
      </c>
    </row>
    <row r="174" spans="1:4" x14ac:dyDescent="0.25">
      <c r="A174" s="2">
        <v>41760</v>
      </c>
      <c r="B174" s="1" t="s">
        <v>1</v>
      </c>
      <c r="C174" s="1">
        <f>(292.8*(1))*(1000)</f>
        <v>292800</v>
      </c>
      <c r="D174" s="1">
        <v>0</v>
      </c>
    </row>
    <row r="175" spans="1:4" x14ac:dyDescent="0.25">
      <c r="A175" s="2">
        <v>41791</v>
      </c>
      <c r="B175" s="1" t="s">
        <v>1</v>
      </c>
      <c r="C175" s="1">
        <f>(292.7*(1))*(1000)</f>
        <v>292700</v>
      </c>
      <c r="D175" s="1">
        <v>0</v>
      </c>
    </row>
    <row r="176" spans="1:4" x14ac:dyDescent="0.25">
      <c r="A176" s="2">
        <v>41821</v>
      </c>
      <c r="B176" s="1" t="s">
        <v>1</v>
      </c>
      <c r="C176" s="1">
        <f>(293.6*(1))*(1000)</f>
        <v>293600</v>
      </c>
      <c r="D176" s="1">
        <v>0</v>
      </c>
    </row>
    <row r="177" spans="1:4" x14ac:dyDescent="0.25">
      <c r="A177" s="2">
        <v>41852</v>
      </c>
      <c r="B177" s="1" t="s">
        <v>1</v>
      </c>
      <c r="C177" s="1">
        <f>(294.2*(1))*(1000)</f>
        <v>294200</v>
      </c>
      <c r="D177" s="1">
        <v>0</v>
      </c>
    </row>
    <row r="178" spans="1:4" x14ac:dyDescent="0.25">
      <c r="A178" s="2">
        <v>41883</v>
      </c>
      <c r="B178" s="1" t="s">
        <v>1</v>
      </c>
      <c r="C178" s="1">
        <f>(294*(1))*(1000)</f>
        <v>294000</v>
      </c>
      <c r="D178" s="1">
        <v>0</v>
      </c>
    </row>
    <row r="179" spans="1:4" x14ac:dyDescent="0.25">
      <c r="A179" s="2">
        <v>41913</v>
      </c>
      <c r="B179" s="1" t="s">
        <v>1</v>
      </c>
      <c r="C179" s="1">
        <f>(296.5*(1))*(1000)</f>
        <v>296500</v>
      </c>
      <c r="D179" s="1">
        <v>0</v>
      </c>
    </row>
    <row r="180" spans="1:4" x14ac:dyDescent="0.25">
      <c r="A180" s="2">
        <v>41944</v>
      </c>
      <c r="B180" s="1" t="s">
        <v>1</v>
      </c>
      <c r="C180" s="1">
        <f>(295.6*(1))*(1000)</f>
        <v>295600</v>
      </c>
      <c r="D180" s="1">
        <v>0</v>
      </c>
    </row>
    <row r="181" spans="1:4" x14ac:dyDescent="0.25">
      <c r="A181" s="2">
        <v>41974</v>
      </c>
      <c r="B181" s="1" t="s">
        <v>1</v>
      </c>
      <c r="C181" s="1">
        <f>(297.1*(1))*(1000)</f>
        <v>297100</v>
      </c>
      <c r="D181" s="1">
        <v>0</v>
      </c>
    </row>
    <row r="182" spans="1:4" x14ac:dyDescent="0.25">
      <c r="A182" s="2">
        <v>36526</v>
      </c>
      <c r="B182" s="1" t="s">
        <v>3</v>
      </c>
      <c r="C182" s="1">
        <f>(280.8*(1))*(1000)</f>
        <v>280800</v>
      </c>
      <c r="D182" s="1">
        <v>0</v>
      </c>
    </row>
    <row r="183" spans="1:4" x14ac:dyDescent="0.25">
      <c r="A183" s="2">
        <v>36557</v>
      </c>
      <c r="B183" s="1" t="s">
        <v>3</v>
      </c>
      <c r="C183" s="1">
        <f>(281.1*(1))*(1000)</f>
        <v>281100</v>
      </c>
      <c r="D183" s="1">
        <v>0</v>
      </c>
    </row>
    <row r="184" spans="1:4" x14ac:dyDescent="0.25">
      <c r="A184" s="2">
        <v>36586</v>
      </c>
      <c r="B184" s="1" t="s">
        <v>3</v>
      </c>
      <c r="C184" s="1">
        <f>(282.2*(1))*(1000)</f>
        <v>282200</v>
      </c>
      <c r="D184" s="1">
        <v>0</v>
      </c>
    </row>
    <row r="185" spans="1:4" x14ac:dyDescent="0.25">
      <c r="A185" s="2">
        <v>36617</v>
      </c>
      <c r="B185" s="1" t="s">
        <v>3</v>
      </c>
      <c r="C185" s="1">
        <f>(282*(1))*(1000)</f>
        <v>282000</v>
      </c>
      <c r="D185" s="1">
        <v>0</v>
      </c>
    </row>
    <row r="186" spans="1:4" x14ac:dyDescent="0.25">
      <c r="A186" s="2">
        <v>36647</v>
      </c>
      <c r="B186" s="1" t="s">
        <v>3</v>
      </c>
      <c r="C186" s="1">
        <f>(283*(1))*(1000)</f>
        <v>283000</v>
      </c>
      <c r="D186" s="1">
        <v>0</v>
      </c>
    </row>
    <row r="187" spans="1:4" x14ac:dyDescent="0.25">
      <c r="A187" s="2">
        <v>36678</v>
      </c>
      <c r="B187" s="1" t="s">
        <v>3</v>
      </c>
      <c r="C187" s="1">
        <f>(283.1*(1))*(1000)</f>
        <v>283100</v>
      </c>
      <c r="D187" s="1">
        <v>0</v>
      </c>
    </row>
    <row r="188" spans="1:4" x14ac:dyDescent="0.25">
      <c r="A188" s="2">
        <v>36708</v>
      </c>
      <c r="B188" s="1" t="s">
        <v>3</v>
      </c>
      <c r="C188" s="1">
        <f>(284*(1))*(1000)</f>
        <v>284000</v>
      </c>
      <c r="D188" s="1">
        <v>0</v>
      </c>
    </row>
    <row r="189" spans="1:4" x14ac:dyDescent="0.25">
      <c r="A189" s="2">
        <v>36739</v>
      </c>
      <c r="B189" s="1" t="s">
        <v>3</v>
      </c>
      <c r="C189" s="1">
        <f>(283.9*(1))*(1000)</f>
        <v>283900</v>
      </c>
      <c r="D189" s="1">
        <v>0</v>
      </c>
    </row>
    <row r="190" spans="1:4" x14ac:dyDescent="0.25">
      <c r="A190" s="2">
        <v>36770</v>
      </c>
      <c r="B190" s="1" t="s">
        <v>3</v>
      </c>
      <c r="C190" s="1">
        <f>(282.8*(1))*(1000)</f>
        <v>282800</v>
      </c>
      <c r="D190" s="1">
        <v>0</v>
      </c>
    </row>
    <row r="191" spans="1:4" x14ac:dyDescent="0.25">
      <c r="A191" s="2">
        <v>36800</v>
      </c>
      <c r="B191" s="1" t="s">
        <v>3</v>
      </c>
      <c r="C191" s="1">
        <f>(283.8*(1))*(1000)</f>
        <v>283800</v>
      </c>
      <c r="D191" s="1">
        <v>0</v>
      </c>
    </row>
    <row r="192" spans="1:4" x14ac:dyDescent="0.25">
      <c r="A192" s="2">
        <v>36831</v>
      </c>
      <c r="B192" s="1" t="s">
        <v>3</v>
      </c>
      <c r="C192" s="1">
        <f>(284*(1))*(1000)</f>
        <v>284000</v>
      </c>
      <c r="D192" s="1">
        <v>0</v>
      </c>
    </row>
    <row r="193" spans="1:4" x14ac:dyDescent="0.25">
      <c r="A193" s="2">
        <v>36861</v>
      </c>
      <c r="B193" s="1" t="s">
        <v>3</v>
      </c>
      <c r="C193" s="1">
        <f>(285.5*(1))*(1000)</f>
        <v>285500</v>
      </c>
      <c r="D193" s="1">
        <v>0</v>
      </c>
    </row>
    <row r="194" spans="1:4" x14ac:dyDescent="0.25">
      <c r="A194" s="2">
        <v>36892</v>
      </c>
      <c r="B194" s="1" t="s">
        <v>3</v>
      </c>
      <c r="C194" s="1">
        <f>(283.1*(1))*(1000)</f>
        <v>283100</v>
      </c>
      <c r="D194" s="1">
        <v>0</v>
      </c>
    </row>
    <row r="195" spans="1:4" x14ac:dyDescent="0.25">
      <c r="A195" s="2">
        <v>36923</v>
      </c>
      <c r="B195" s="1" t="s">
        <v>3</v>
      </c>
      <c r="C195" s="1">
        <f>(286.1*(1))*(1000)</f>
        <v>286100</v>
      </c>
      <c r="D195" s="1">
        <v>0</v>
      </c>
    </row>
    <row r="196" spans="1:4" x14ac:dyDescent="0.25">
      <c r="A196" s="2">
        <v>36951</v>
      </c>
      <c r="B196" s="1" t="s">
        <v>3</v>
      </c>
      <c r="C196" s="1">
        <f>(285.7*(1))*(1000)</f>
        <v>285700</v>
      </c>
      <c r="D196" s="1">
        <v>0</v>
      </c>
    </row>
    <row r="197" spans="1:4" x14ac:dyDescent="0.25">
      <c r="A197" s="2">
        <v>36982</v>
      </c>
      <c r="B197" s="1" t="s">
        <v>3</v>
      </c>
      <c r="C197" s="1">
        <f>(288.2*(1))*(1000)</f>
        <v>288200</v>
      </c>
      <c r="D197" s="1">
        <v>0</v>
      </c>
    </row>
    <row r="198" spans="1:4" x14ac:dyDescent="0.25">
      <c r="A198" s="2">
        <v>37012</v>
      </c>
      <c r="B198" s="1" t="s">
        <v>3</v>
      </c>
      <c r="C198" s="1">
        <f>(288.4*(1))*(1000)</f>
        <v>288400</v>
      </c>
      <c r="D198" s="1">
        <v>0</v>
      </c>
    </row>
    <row r="199" spans="1:4" x14ac:dyDescent="0.25">
      <c r="A199" s="2">
        <v>37043</v>
      </c>
      <c r="B199" s="1" t="s">
        <v>3</v>
      </c>
      <c r="C199" s="1">
        <f>(288*(1))*(1000)</f>
        <v>288000</v>
      </c>
      <c r="D199" s="1">
        <v>0</v>
      </c>
    </row>
    <row r="200" spans="1:4" x14ac:dyDescent="0.25">
      <c r="A200" s="2">
        <v>37073</v>
      </c>
      <c r="B200" s="1" t="s">
        <v>3</v>
      </c>
      <c r="C200" s="1">
        <f>(290.3*(1))*(1000)</f>
        <v>290300</v>
      </c>
      <c r="D200" s="1">
        <v>0</v>
      </c>
    </row>
    <row r="201" spans="1:4" x14ac:dyDescent="0.25">
      <c r="A201" s="2">
        <v>37104</v>
      </c>
      <c r="B201" s="1" t="s">
        <v>3</v>
      </c>
      <c r="C201" s="1">
        <f>(291*(1))*(1000)</f>
        <v>291000</v>
      </c>
      <c r="D201" s="1">
        <v>0</v>
      </c>
    </row>
    <row r="202" spans="1:4" x14ac:dyDescent="0.25">
      <c r="A202" s="2">
        <v>37135</v>
      </c>
      <c r="B202" s="1" t="s">
        <v>3</v>
      </c>
      <c r="C202" s="1">
        <f>(290.5*(1))*(1000)</f>
        <v>290500</v>
      </c>
      <c r="D202" s="1">
        <v>0</v>
      </c>
    </row>
    <row r="203" spans="1:4" x14ac:dyDescent="0.25">
      <c r="A203" s="2">
        <v>37165</v>
      </c>
      <c r="B203" s="1" t="s">
        <v>3</v>
      </c>
      <c r="C203" s="1">
        <f>(290.3*(1))*(1000)</f>
        <v>290300</v>
      </c>
      <c r="D203" s="1">
        <v>0</v>
      </c>
    </row>
    <row r="204" spans="1:4" x14ac:dyDescent="0.25">
      <c r="A204" s="2">
        <v>37196</v>
      </c>
      <c r="B204" s="1" t="s">
        <v>3</v>
      </c>
      <c r="C204" s="1">
        <f>(288.9*(1))*(1000)</f>
        <v>288900</v>
      </c>
      <c r="D204" s="1">
        <v>0</v>
      </c>
    </row>
    <row r="205" spans="1:4" x14ac:dyDescent="0.25">
      <c r="A205" s="2">
        <v>37226</v>
      </c>
      <c r="B205" s="1" t="s">
        <v>3</v>
      </c>
      <c r="C205" s="1">
        <f>(288.2*(1))*(1000)</f>
        <v>288200</v>
      </c>
      <c r="D205" s="1">
        <v>0</v>
      </c>
    </row>
    <row r="206" spans="1:4" x14ac:dyDescent="0.25">
      <c r="A206" s="2">
        <v>37257</v>
      </c>
      <c r="B206" s="1" t="s">
        <v>3</v>
      </c>
      <c r="C206" s="1">
        <f>(289.5*(1))*(1000)</f>
        <v>289500</v>
      </c>
      <c r="D206" s="1">
        <v>0</v>
      </c>
    </row>
    <row r="207" spans="1:4" x14ac:dyDescent="0.25">
      <c r="A207" s="2">
        <v>37288</v>
      </c>
      <c r="B207" s="1" t="s">
        <v>3</v>
      </c>
      <c r="C207" s="1">
        <f>(292.4*(1))*(1000)</f>
        <v>292400</v>
      </c>
      <c r="D207" s="1">
        <v>0</v>
      </c>
    </row>
    <row r="208" spans="1:4" x14ac:dyDescent="0.25">
      <c r="A208" s="2">
        <v>37316</v>
      </c>
      <c r="B208" s="1" t="s">
        <v>3</v>
      </c>
      <c r="C208" s="1">
        <f>(293*(1))*(1000)</f>
        <v>293000</v>
      </c>
      <c r="D208" s="1">
        <v>0</v>
      </c>
    </row>
    <row r="209" spans="1:4" x14ac:dyDescent="0.25">
      <c r="A209" s="2">
        <v>37347</v>
      </c>
      <c r="B209" s="1" t="s">
        <v>3</v>
      </c>
      <c r="C209" s="1">
        <f>(293.2*(1))*(1000)</f>
        <v>293200</v>
      </c>
      <c r="D209" s="1">
        <v>0</v>
      </c>
    </row>
    <row r="210" spans="1:4" x14ac:dyDescent="0.25">
      <c r="A210" s="2">
        <v>37377</v>
      </c>
      <c r="B210" s="1" t="s">
        <v>3</v>
      </c>
      <c r="C210" s="1">
        <f>(291.9*(1))*(1000)</f>
        <v>291900</v>
      </c>
      <c r="D210" s="1">
        <v>0</v>
      </c>
    </row>
    <row r="211" spans="1:4" x14ac:dyDescent="0.25">
      <c r="A211" s="2">
        <v>37408</v>
      </c>
      <c r="B211" s="1" t="s">
        <v>3</v>
      </c>
      <c r="C211" s="1">
        <f>(293.3*(1))*(1000)</f>
        <v>293300</v>
      </c>
      <c r="D211" s="1">
        <v>0</v>
      </c>
    </row>
    <row r="212" spans="1:4" x14ac:dyDescent="0.25">
      <c r="A212" s="2">
        <v>37438</v>
      </c>
      <c r="B212" s="1" t="s">
        <v>3</v>
      </c>
      <c r="C212" s="1">
        <f>(293.7*(1))*(1000)</f>
        <v>293700</v>
      </c>
      <c r="D212" s="1">
        <v>0</v>
      </c>
    </row>
    <row r="213" spans="1:4" x14ac:dyDescent="0.25">
      <c r="A213" s="2">
        <v>37469</v>
      </c>
      <c r="B213" s="1" t="s">
        <v>3</v>
      </c>
      <c r="C213" s="1">
        <f>(294.5*(1))*(1000)</f>
        <v>294500</v>
      </c>
      <c r="D213" s="1">
        <v>0</v>
      </c>
    </row>
    <row r="214" spans="1:4" x14ac:dyDescent="0.25">
      <c r="A214" s="2">
        <v>37500</v>
      </c>
      <c r="B214" s="1" t="s">
        <v>3</v>
      </c>
      <c r="C214" s="1">
        <f>(294.8*(1))*(1000)</f>
        <v>294800</v>
      </c>
      <c r="D214" s="1">
        <v>0</v>
      </c>
    </row>
    <row r="215" spans="1:4" x14ac:dyDescent="0.25">
      <c r="A215" s="2">
        <v>37530</v>
      </c>
      <c r="B215" s="1" t="s">
        <v>3</v>
      </c>
      <c r="C215" s="1">
        <f>(296.6*(1))*(1000)</f>
        <v>296600</v>
      </c>
      <c r="D215" s="1">
        <v>0</v>
      </c>
    </row>
    <row r="216" spans="1:4" x14ac:dyDescent="0.25">
      <c r="A216" s="2">
        <v>37561</v>
      </c>
      <c r="B216" s="1" t="s">
        <v>3</v>
      </c>
      <c r="C216" s="1">
        <f>(296.7*(1))*(1000)</f>
        <v>296700</v>
      </c>
      <c r="D216" s="1">
        <v>0</v>
      </c>
    </row>
    <row r="217" spans="1:4" x14ac:dyDescent="0.25">
      <c r="A217" s="2">
        <v>37591</v>
      </c>
      <c r="B217" s="1" t="s">
        <v>3</v>
      </c>
      <c r="C217" s="1">
        <f>(297.7*(1))*(1000)</f>
        <v>297700</v>
      </c>
      <c r="D217" s="1">
        <v>0</v>
      </c>
    </row>
    <row r="218" spans="1:4" x14ac:dyDescent="0.25">
      <c r="A218" s="2">
        <v>37622</v>
      </c>
      <c r="B218" s="1" t="s">
        <v>3</v>
      </c>
      <c r="C218" s="1">
        <f>(295.7*(1))*(1000)</f>
        <v>295700</v>
      </c>
      <c r="D218" s="1">
        <v>0</v>
      </c>
    </row>
    <row r="219" spans="1:4" x14ac:dyDescent="0.25">
      <c r="A219" s="2">
        <v>37653</v>
      </c>
      <c r="B219" s="1" t="s">
        <v>3</v>
      </c>
      <c r="C219" s="1">
        <f>(297.2*(1))*(1000)</f>
        <v>297200</v>
      </c>
      <c r="D219" s="1">
        <v>0</v>
      </c>
    </row>
    <row r="220" spans="1:4" x14ac:dyDescent="0.25">
      <c r="A220" s="2">
        <v>37681</v>
      </c>
      <c r="B220" s="1" t="s">
        <v>3</v>
      </c>
      <c r="C220" s="1">
        <f>(297.7*(1))*(1000)</f>
        <v>297700</v>
      </c>
      <c r="D220" s="1">
        <v>0</v>
      </c>
    </row>
    <row r="221" spans="1:4" x14ac:dyDescent="0.25">
      <c r="A221" s="2">
        <v>37712</v>
      </c>
      <c r="B221" s="1" t="s">
        <v>3</v>
      </c>
      <c r="C221" s="1">
        <f>(296.4*(1))*(1000)</f>
        <v>296400</v>
      </c>
      <c r="D221" s="1">
        <v>0</v>
      </c>
    </row>
    <row r="222" spans="1:4" x14ac:dyDescent="0.25">
      <c r="A222" s="2">
        <v>37742</v>
      </c>
      <c r="B222" s="1" t="s">
        <v>3</v>
      </c>
      <c r="C222" s="1">
        <f>(298*(1))*(1000)</f>
        <v>298000</v>
      </c>
      <c r="D222" s="1">
        <v>0</v>
      </c>
    </row>
    <row r="223" spans="1:4" x14ac:dyDescent="0.25">
      <c r="A223" s="2">
        <v>37773</v>
      </c>
      <c r="B223" s="1" t="s">
        <v>3</v>
      </c>
      <c r="C223" s="1">
        <f>(298.8*(1))*(1000)</f>
        <v>298800</v>
      </c>
      <c r="D223" s="1">
        <v>0</v>
      </c>
    </row>
    <row r="224" spans="1:4" x14ac:dyDescent="0.25">
      <c r="A224" s="2">
        <v>37803</v>
      </c>
      <c r="B224" s="1" t="s">
        <v>3</v>
      </c>
      <c r="C224" s="1">
        <f>(297.8*(1))*(1000)</f>
        <v>297800</v>
      </c>
      <c r="D224" s="1">
        <v>0</v>
      </c>
    </row>
    <row r="225" spans="1:4" x14ac:dyDescent="0.25">
      <c r="A225" s="2">
        <v>37834</v>
      </c>
      <c r="B225" s="1" t="s">
        <v>3</v>
      </c>
      <c r="C225" s="1">
        <f>(298.4*(1))*(1000)</f>
        <v>298400</v>
      </c>
      <c r="D225" s="1">
        <v>0</v>
      </c>
    </row>
    <row r="226" spans="1:4" x14ac:dyDescent="0.25">
      <c r="A226" s="2">
        <v>37865</v>
      </c>
      <c r="B226" s="1" t="s">
        <v>3</v>
      </c>
      <c r="C226" s="1">
        <f>(299.5*(1))*(1000)</f>
        <v>299500</v>
      </c>
      <c r="D226" s="1">
        <v>0</v>
      </c>
    </row>
    <row r="227" spans="1:4" x14ac:dyDescent="0.25">
      <c r="A227" s="2">
        <v>37895</v>
      </c>
      <c r="B227" s="1" t="s">
        <v>3</v>
      </c>
      <c r="C227" s="1">
        <f>(298.7*(1))*(1000)</f>
        <v>298700</v>
      </c>
      <c r="D227" s="1">
        <v>0</v>
      </c>
    </row>
    <row r="228" spans="1:4" x14ac:dyDescent="0.25">
      <c r="A228" s="2">
        <v>37926</v>
      </c>
      <c r="B228" s="1" t="s">
        <v>3</v>
      </c>
      <c r="C228" s="1">
        <f>(299.1*(1))*(1000)</f>
        <v>299100</v>
      </c>
      <c r="D228" s="1">
        <v>0</v>
      </c>
    </row>
    <row r="229" spans="1:4" x14ac:dyDescent="0.25">
      <c r="A229" s="2">
        <v>37956</v>
      </c>
      <c r="B229" s="1" t="s">
        <v>3</v>
      </c>
      <c r="C229" s="1">
        <f>(299.9*(1))*(1000)</f>
        <v>299900</v>
      </c>
      <c r="D229" s="1">
        <v>0</v>
      </c>
    </row>
    <row r="230" spans="1:4" x14ac:dyDescent="0.25">
      <c r="A230" s="2">
        <v>37987</v>
      </c>
      <c r="B230" s="1" t="s">
        <v>3</v>
      </c>
      <c r="C230" s="1">
        <f>(301*(1))*(1000)</f>
        <v>301000</v>
      </c>
      <c r="D230" s="1">
        <v>0</v>
      </c>
    </row>
    <row r="231" spans="1:4" x14ac:dyDescent="0.25">
      <c r="A231" s="2">
        <v>38018</v>
      </c>
      <c r="B231" s="1" t="s">
        <v>3</v>
      </c>
      <c r="C231" s="1">
        <f>(299.7*(1))*(1000)</f>
        <v>299700</v>
      </c>
      <c r="D231" s="1">
        <v>0</v>
      </c>
    </row>
    <row r="232" spans="1:4" x14ac:dyDescent="0.25">
      <c r="A232" s="2">
        <v>38047</v>
      </c>
      <c r="B232" s="1" t="s">
        <v>3</v>
      </c>
      <c r="C232" s="1">
        <f>(301.5*(1))*(1000)</f>
        <v>301500</v>
      </c>
      <c r="D232" s="1">
        <v>0</v>
      </c>
    </row>
    <row r="233" spans="1:4" x14ac:dyDescent="0.25">
      <c r="A233" s="2">
        <v>38078</v>
      </c>
      <c r="B233" s="1" t="s">
        <v>3</v>
      </c>
      <c r="C233" s="1">
        <f>(301.7*(1))*(1000)</f>
        <v>301700</v>
      </c>
      <c r="D233" s="1">
        <v>0</v>
      </c>
    </row>
    <row r="234" spans="1:4" x14ac:dyDescent="0.25">
      <c r="A234" s="2">
        <v>38108</v>
      </c>
      <c r="B234" s="1" t="s">
        <v>3</v>
      </c>
      <c r="C234" s="1">
        <f>(301.4*(1))*(1000)</f>
        <v>301400</v>
      </c>
      <c r="D234" s="1">
        <v>0</v>
      </c>
    </row>
    <row r="235" spans="1:4" x14ac:dyDescent="0.25">
      <c r="A235" s="2">
        <v>38139</v>
      </c>
      <c r="B235" s="1" t="s">
        <v>3</v>
      </c>
      <c r="C235" s="1">
        <f>(302.6*(1))*(1000)</f>
        <v>302600</v>
      </c>
      <c r="D235" s="1">
        <v>0</v>
      </c>
    </row>
    <row r="236" spans="1:4" x14ac:dyDescent="0.25">
      <c r="A236" s="2">
        <v>38169</v>
      </c>
      <c r="B236" s="1" t="s">
        <v>3</v>
      </c>
      <c r="C236" s="1">
        <f>(303.7*(1))*(1000)</f>
        <v>303700</v>
      </c>
      <c r="D236" s="1">
        <v>0</v>
      </c>
    </row>
    <row r="237" spans="1:4" x14ac:dyDescent="0.25">
      <c r="A237" s="2">
        <v>38200</v>
      </c>
      <c r="B237" s="1" t="s">
        <v>3</v>
      </c>
      <c r="C237" s="1">
        <f>(303.7*(1))*(1000)</f>
        <v>303700</v>
      </c>
      <c r="D237" s="1">
        <v>0</v>
      </c>
    </row>
    <row r="238" spans="1:4" x14ac:dyDescent="0.25">
      <c r="A238" s="2">
        <v>38231</v>
      </c>
      <c r="B238" s="1" t="s">
        <v>3</v>
      </c>
      <c r="C238" s="1">
        <f>(304.8*(1))*(1000)</f>
        <v>304800</v>
      </c>
      <c r="D238" s="1">
        <v>0</v>
      </c>
    </row>
    <row r="239" spans="1:4" x14ac:dyDescent="0.25">
      <c r="A239" s="2">
        <v>38261</v>
      </c>
      <c r="B239" s="1" t="s">
        <v>3</v>
      </c>
      <c r="C239" s="1">
        <f>(306.3*(1))*(1000)</f>
        <v>306300</v>
      </c>
      <c r="D239" s="1">
        <v>0</v>
      </c>
    </row>
    <row r="240" spans="1:4" x14ac:dyDescent="0.25">
      <c r="A240" s="2">
        <v>38292</v>
      </c>
      <c r="B240" s="1" t="s">
        <v>3</v>
      </c>
      <c r="C240" s="1">
        <f>(305.3*(1))*(1000)</f>
        <v>305300</v>
      </c>
      <c r="D240" s="1">
        <v>0</v>
      </c>
    </row>
    <row r="241" spans="1:4" x14ac:dyDescent="0.25">
      <c r="A241" s="2">
        <v>38322</v>
      </c>
      <c r="B241" s="1" t="s">
        <v>3</v>
      </c>
      <c r="C241" s="1">
        <f>(306.6*(1))*(1000)</f>
        <v>306600</v>
      </c>
      <c r="D241" s="1">
        <v>0</v>
      </c>
    </row>
    <row r="242" spans="1:4" x14ac:dyDescent="0.25">
      <c r="A242" s="2">
        <v>38353</v>
      </c>
      <c r="B242" s="1" t="s">
        <v>3</v>
      </c>
      <c r="C242" s="1">
        <f>(307.7*(1))*(1000)</f>
        <v>307700</v>
      </c>
      <c r="D242" s="1">
        <v>0</v>
      </c>
    </row>
    <row r="243" spans="1:4" x14ac:dyDescent="0.25">
      <c r="A243" s="2">
        <v>38384</v>
      </c>
      <c r="B243" s="1" t="s">
        <v>3</v>
      </c>
      <c r="C243" s="1">
        <f>(306.3*(1))*(1000)</f>
        <v>306300</v>
      </c>
      <c r="D243" s="1">
        <v>0</v>
      </c>
    </row>
    <row r="244" spans="1:4" x14ac:dyDescent="0.25">
      <c r="A244" s="2">
        <v>38412</v>
      </c>
      <c r="B244" s="1" t="s">
        <v>3</v>
      </c>
      <c r="C244" s="1">
        <f>(306.9*(1))*(1000)</f>
        <v>306900</v>
      </c>
      <c r="D244" s="1">
        <v>0</v>
      </c>
    </row>
    <row r="245" spans="1:4" x14ac:dyDescent="0.25">
      <c r="A245" s="2">
        <v>38443</v>
      </c>
      <c r="B245" s="1" t="s">
        <v>3</v>
      </c>
      <c r="C245" s="1">
        <f>(307.7*(1))*(1000)</f>
        <v>307700</v>
      </c>
      <c r="D245" s="1">
        <v>0</v>
      </c>
    </row>
    <row r="246" spans="1:4" x14ac:dyDescent="0.25">
      <c r="A246" s="2">
        <v>38473</v>
      </c>
      <c r="B246" s="1" t="s">
        <v>3</v>
      </c>
      <c r="C246" s="1">
        <f>(308.2*(1))*(1000)</f>
        <v>308200</v>
      </c>
      <c r="D246" s="1">
        <v>0</v>
      </c>
    </row>
    <row r="247" spans="1:4" x14ac:dyDescent="0.25">
      <c r="A247" s="2">
        <v>38504</v>
      </c>
      <c r="B247" s="1" t="s">
        <v>3</v>
      </c>
      <c r="C247" s="1">
        <f>(307.4*(1))*(1000)</f>
        <v>307400</v>
      </c>
      <c r="D247" s="1">
        <v>0</v>
      </c>
    </row>
    <row r="248" spans="1:4" x14ac:dyDescent="0.25">
      <c r="A248" s="2">
        <v>38534</v>
      </c>
      <c r="B248" s="1" t="s">
        <v>3</v>
      </c>
      <c r="C248" s="1">
        <f>(310*(1))*(1000)</f>
        <v>310000</v>
      </c>
      <c r="D248" s="1">
        <v>0</v>
      </c>
    </row>
    <row r="249" spans="1:4" x14ac:dyDescent="0.25">
      <c r="A249" s="2">
        <v>38565</v>
      </c>
      <c r="B249" s="1" t="s">
        <v>3</v>
      </c>
      <c r="C249" s="1">
        <f>(310.3*(1))*(1000)</f>
        <v>310300</v>
      </c>
      <c r="D249" s="1">
        <v>0</v>
      </c>
    </row>
    <row r="250" spans="1:4" x14ac:dyDescent="0.25">
      <c r="A250" s="2">
        <v>38596</v>
      </c>
      <c r="B250" s="1" t="s">
        <v>3</v>
      </c>
      <c r="C250" s="1">
        <f>(309.9*(1))*(1000)</f>
        <v>309900</v>
      </c>
      <c r="D250" s="1">
        <v>0</v>
      </c>
    </row>
    <row r="251" spans="1:4" x14ac:dyDescent="0.25">
      <c r="A251" s="2">
        <v>38626</v>
      </c>
      <c r="B251" s="1" t="s">
        <v>3</v>
      </c>
      <c r="C251" s="1">
        <f>(310*(1))*(1000)</f>
        <v>310000</v>
      </c>
      <c r="D251" s="1">
        <v>0</v>
      </c>
    </row>
    <row r="252" spans="1:4" x14ac:dyDescent="0.25">
      <c r="A252" s="2">
        <v>38657</v>
      </c>
      <c r="B252" s="1" t="s">
        <v>3</v>
      </c>
      <c r="C252" s="1">
        <f>(310.8*(1))*(1000)</f>
        <v>310800</v>
      </c>
      <c r="D252" s="1">
        <v>0</v>
      </c>
    </row>
    <row r="253" spans="1:4" x14ac:dyDescent="0.25">
      <c r="A253" s="2">
        <v>38687</v>
      </c>
      <c r="B253" s="1" t="s">
        <v>3</v>
      </c>
      <c r="C253" s="1">
        <f>(310.1*(1))*(1000)</f>
        <v>310100</v>
      </c>
      <c r="D253" s="1">
        <v>0</v>
      </c>
    </row>
    <row r="254" spans="1:4" x14ac:dyDescent="0.25">
      <c r="A254" s="2">
        <v>38718</v>
      </c>
      <c r="B254" s="1" t="s">
        <v>3</v>
      </c>
      <c r="C254" s="1">
        <f>(310.2*(1))*(1000)</f>
        <v>310200</v>
      </c>
      <c r="D254" s="1">
        <v>0</v>
      </c>
    </row>
    <row r="255" spans="1:4" x14ac:dyDescent="0.25">
      <c r="A255" s="2">
        <v>38749</v>
      </c>
      <c r="B255" s="1" t="s">
        <v>3</v>
      </c>
      <c r="C255" s="1">
        <f>(311.9*(1))*(1000)</f>
        <v>311900</v>
      </c>
      <c r="D255" s="1">
        <v>0</v>
      </c>
    </row>
    <row r="256" spans="1:4" x14ac:dyDescent="0.25">
      <c r="A256" s="2">
        <v>38777</v>
      </c>
      <c r="B256" s="1" t="s">
        <v>3</v>
      </c>
      <c r="C256" s="1">
        <f>(313.4*(1))*(1000)</f>
        <v>313400</v>
      </c>
      <c r="D256" s="1">
        <v>0</v>
      </c>
    </row>
    <row r="257" spans="1:4" x14ac:dyDescent="0.25">
      <c r="A257" s="2">
        <v>38808</v>
      </c>
      <c r="B257" s="1" t="s">
        <v>3</v>
      </c>
      <c r="C257" s="1">
        <f>(314.4*(1))*(1000)</f>
        <v>314400</v>
      </c>
      <c r="D257" s="1">
        <v>0</v>
      </c>
    </row>
    <row r="258" spans="1:4" x14ac:dyDescent="0.25">
      <c r="A258" s="2">
        <v>38838</v>
      </c>
      <c r="B258" s="1" t="s">
        <v>3</v>
      </c>
      <c r="C258" s="1">
        <f>(314.5*(1))*(1000)</f>
        <v>314500</v>
      </c>
      <c r="D258" s="1">
        <v>0</v>
      </c>
    </row>
    <row r="259" spans="1:4" x14ac:dyDescent="0.25">
      <c r="A259" s="2">
        <v>38869</v>
      </c>
      <c r="B259" s="1" t="s">
        <v>3</v>
      </c>
      <c r="C259" s="1">
        <f>(317.5*(1))*(1000)</f>
        <v>317500</v>
      </c>
      <c r="D259" s="1">
        <v>0</v>
      </c>
    </row>
    <row r="260" spans="1:4" x14ac:dyDescent="0.25">
      <c r="A260" s="2">
        <v>38899</v>
      </c>
      <c r="B260" s="1" t="s">
        <v>3</v>
      </c>
      <c r="C260" s="1">
        <f>(313.8*(1))*(1000)</f>
        <v>313800</v>
      </c>
      <c r="D260" s="1">
        <v>0</v>
      </c>
    </row>
    <row r="261" spans="1:4" x14ac:dyDescent="0.25">
      <c r="A261" s="2">
        <v>38930</v>
      </c>
      <c r="B261" s="1" t="s">
        <v>3</v>
      </c>
      <c r="C261" s="1">
        <f>(314.1*(1))*(1000)</f>
        <v>314100</v>
      </c>
      <c r="D261" s="1">
        <v>0</v>
      </c>
    </row>
    <row r="262" spans="1:4" x14ac:dyDescent="0.25">
      <c r="A262" s="2">
        <v>38961</v>
      </c>
      <c r="B262" s="1" t="s">
        <v>3</v>
      </c>
      <c r="C262" s="1">
        <f>(314.5*(1))*(1000)</f>
        <v>314500</v>
      </c>
      <c r="D262" s="1">
        <v>0</v>
      </c>
    </row>
    <row r="263" spans="1:4" x14ac:dyDescent="0.25">
      <c r="A263" s="2">
        <v>38991</v>
      </c>
      <c r="B263" s="1" t="s">
        <v>3</v>
      </c>
      <c r="C263" s="1">
        <f>(312.9*(1))*(1000)</f>
        <v>312900</v>
      </c>
      <c r="D263" s="1">
        <v>0</v>
      </c>
    </row>
    <row r="264" spans="1:4" x14ac:dyDescent="0.25">
      <c r="A264" s="2">
        <v>39022</v>
      </c>
      <c r="B264" s="1" t="s">
        <v>3</v>
      </c>
      <c r="C264" s="1">
        <f>(314.7*(1))*(1000)</f>
        <v>314700</v>
      </c>
      <c r="D264" s="1">
        <v>0</v>
      </c>
    </row>
    <row r="265" spans="1:4" x14ac:dyDescent="0.25">
      <c r="A265" s="2">
        <v>39052</v>
      </c>
      <c r="B265" s="1" t="s">
        <v>3</v>
      </c>
      <c r="C265" s="1">
        <f>(315.2*(1))*(1000)</f>
        <v>315200</v>
      </c>
      <c r="D265" s="1">
        <v>0</v>
      </c>
    </row>
    <row r="266" spans="1:4" x14ac:dyDescent="0.25">
      <c r="A266" s="2">
        <v>39083</v>
      </c>
      <c r="B266" s="1" t="s">
        <v>3</v>
      </c>
      <c r="C266" s="1">
        <f>(315.7*(1))*(1000)</f>
        <v>315700</v>
      </c>
      <c r="D266" s="1">
        <v>0</v>
      </c>
    </row>
    <row r="267" spans="1:4" x14ac:dyDescent="0.25">
      <c r="A267" s="2">
        <v>39114</v>
      </c>
      <c r="B267" s="1" t="s">
        <v>3</v>
      </c>
      <c r="C267" s="1">
        <f>(316.7*(1))*(1000)</f>
        <v>316700</v>
      </c>
      <c r="D267" s="1">
        <v>0</v>
      </c>
    </row>
    <row r="268" spans="1:4" x14ac:dyDescent="0.25">
      <c r="A268" s="2">
        <v>39142</v>
      </c>
      <c r="B268" s="1" t="s">
        <v>3</v>
      </c>
      <c r="C268" s="1">
        <f>(316.9*(1))*(1000)</f>
        <v>316900</v>
      </c>
      <c r="D268" s="1">
        <v>0</v>
      </c>
    </row>
    <row r="269" spans="1:4" x14ac:dyDescent="0.25">
      <c r="A269" s="2">
        <v>39173</v>
      </c>
      <c r="B269" s="1" t="s">
        <v>3</v>
      </c>
      <c r="C269" s="1">
        <f>(316.6*(1))*(1000)</f>
        <v>316600</v>
      </c>
      <c r="D269" s="1">
        <v>0</v>
      </c>
    </row>
    <row r="270" spans="1:4" x14ac:dyDescent="0.25">
      <c r="A270" s="2">
        <v>39203</v>
      </c>
      <c r="B270" s="1" t="s">
        <v>3</v>
      </c>
      <c r="C270" s="1">
        <f>(317.5*(1))*(1000)</f>
        <v>317500</v>
      </c>
      <c r="D270" s="1">
        <v>0</v>
      </c>
    </row>
    <row r="271" spans="1:4" x14ac:dyDescent="0.25">
      <c r="A271" s="2">
        <v>39234</v>
      </c>
      <c r="B271" s="1" t="s">
        <v>3</v>
      </c>
      <c r="C271" s="1">
        <f>(316.8*(1))*(1000)</f>
        <v>316800</v>
      </c>
      <c r="D271" s="1">
        <v>0</v>
      </c>
    </row>
    <row r="272" spans="1:4" x14ac:dyDescent="0.25">
      <c r="A272" s="2">
        <v>39264</v>
      </c>
      <c r="B272" s="1" t="s">
        <v>3</v>
      </c>
      <c r="C272" s="1">
        <f>(315.8*(1))*(1000)</f>
        <v>315800</v>
      </c>
      <c r="D272" s="1">
        <v>0</v>
      </c>
    </row>
    <row r="273" spans="1:4" x14ac:dyDescent="0.25">
      <c r="A273" s="2">
        <v>39295</v>
      </c>
      <c r="B273" s="1" t="s">
        <v>3</v>
      </c>
      <c r="C273" s="1">
        <f>(316.9*(1))*(1000)</f>
        <v>316900</v>
      </c>
      <c r="D273" s="1">
        <v>0</v>
      </c>
    </row>
    <row r="274" spans="1:4" x14ac:dyDescent="0.25">
      <c r="A274" s="2">
        <v>39326</v>
      </c>
      <c r="B274" s="1" t="s">
        <v>3</v>
      </c>
      <c r="C274" s="1">
        <f>(317.2*(1))*(1000)</f>
        <v>317200</v>
      </c>
      <c r="D274" s="1">
        <v>0</v>
      </c>
    </row>
    <row r="275" spans="1:4" x14ac:dyDescent="0.25">
      <c r="A275" s="2">
        <v>39356</v>
      </c>
      <c r="B275" s="1" t="s">
        <v>3</v>
      </c>
      <c r="C275" s="1">
        <f>(317.4*(1))*(1000)</f>
        <v>317400</v>
      </c>
      <c r="D275" s="1">
        <v>0</v>
      </c>
    </row>
    <row r="276" spans="1:4" x14ac:dyDescent="0.25">
      <c r="A276" s="2">
        <v>39387</v>
      </c>
      <c r="B276" s="1" t="s">
        <v>3</v>
      </c>
      <c r="C276" s="1">
        <f>(317.6*(1))*(1000)</f>
        <v>317600</v>
      </c>
      <c r="D276" s="1">
        <v>0</v>
      </c>
    </row>
    <row r="277" spans="1:4" x14ac:dyDescent="0.25">
      <c r="A277" s="2">
        <v>39417</v>
      </c>
      <c r="B277" s="1" t="s">
        <v>3</v>
      </c>
      <c r="C277" s="1">
        <f>(318*(1))*(1000)</f>
        <v>318000</v>
      </c>
      <c r="D277" s="1">
        <v>0</v>
      </c>
    </row>
    <row r="278" spans="1:4" x14ac:dyDescent="0.25">
      <c r="A278" s="2">
        <v>39448</v>
      </c>
      <c r="B278" s="1" t="s">
        <v>3</v>
      </c>
      <c r="C278" s="1">
        <f>(320.5*(1))*(1000)</f>
        <v>320500</v>
      </c>
      <c r="D278" s="1">
        <v>0</v>
      </c>
    </row>
    <row r="279" spans="1:4" x14ac:dyDescent="0.25">
      <c r="A279" s="2">
        <v>39479</v>
      </c>
      <c r="B279" s="1" t="s">
        <v>3</v>
      </c>
      <c r="C279" s="1">
        <f>(319.7*(1))*(1000)</f>
        <v>319700</v>
      </c>
      <c r="D279" s="1">
        <v>0</v>
      </c>
    </row>
    <row r="280" spans="1:4" x14ac:dyDescent="0.25">
      <c r="A280" s="2">
        <v>39508</v>
      </c>
      <c r="B280" s="1" t="s">
        <v>3</v>
      </c>
      <c r="C280" s="1">
        <f>(319.6*(1))*(1000)</f>
        <v>319600</v>
      </c>
      <c r="D280" s="1">
        <v>0</v>
      </c>
    </row>
    <row r="281" spans="1:4" x14ac:dyDescent="0.25">
      <c r="A281" s="2">
        <v>39539</v>
      </c>
      <c r="B281" s="1" t="s">
        <v>3</v>
      </c>
      <c r="C281" s="1">
        <f>(319.8*(1))*(1000)</f>
        <v>319800</v>
      </c>
      <c r="D281" s="1">
        <v>0</v>
      </c>
    </row>
    <row r="282" spans="1:4" x14ac:dyDescent="0.25">
      <c r="A282" s="2">
        <v>39569</v>
      </c>
      <c r="B282" s="1" t="s">
        <v>3</v>
      </c>
      <c r="C282" s="1">
        <f>(320.9*(1))*(1000)</f>
        <v>320900</v>
      </c>
      <c r="D282" s="1">
        <v>0</v>
      </c>
    </row>
    <row r="283" spans="1:4" x14ac:dyDescent="0.25">
      <c r="A283" s="2">
        <v>39600</v>
      </c>
      <c r="B283" s="1" t="s">
        <v>3</v>
      </c>
      <c r="C283" s="1">
        <f>(321.6*(1))*(1000)</f>
        <v>321600</v>
      </c>
      <c r="D283" s="1">
        <v>0</v>
      </c>
    </row>
    <row r="284" spans="1:4" x14ac:dyDescent="0.25">
      <c r="A284" s="2">
        <v>39630</v>
      </c>
      <c r="B284" s="1" t="s">
        <v>3</v>
      </c>
      <c r="C284" s="1">
        <f>(322.3*(1))*(1000)</f>
        <v>322300</v>
      </c>
      <c r="D284" s="1">
        <v>0</v>
      </c>
    </row>
    <row r="285" spans="1:4" x14ac:dyDescent="0.25">
      <c r="A285" s="2">
        <v>39661</v>
      </c>
      <c r="B285" s="1" t="s">
        <v>3</v>
      </c>
      <c r="C285" s="1">
        <f>(322.1*(1))*(1000)</f>
        <v>322100</v>
      </c>
      <c r="D285" s="1">
        <v>0</v>
      </c>
    </row>
    <row r="286" spans="1:4" x14ac:dyDescent="0.25">
      <c r="A286" s="2">
        <v>39692</v>
      </c>
      <c r="B286" s="1" t="s">
        <v>3</v>
      </c>
      <c r="C286" s="1">
        <f>(322.1*(1))*(1000)</f>
        <v>322100</v>
      </c>
      <c r="D286" s="1">
        <v>0</v>
      </c>
    </row>
    <row r="287" spans="1:4" x14ac:dyDescent="0.25">
      <c r="A287" s="2">
        <v>39722</v>
      </c>
      <c r="B287" s="1" t="s">
        <v>3</v>
      </c>
      <c r="C287" s="1">
        <f>(321.5*(1))*(1000)</f>
        <v>321500</v>
      </c>
      <c r="D287" s="1">
        <v>0</v>
      </c>
    </row>
    <row r="288" spans="1:4" x14ac:dyDescent="0.25">
      <c r="A288" s="2">
        <v>39753</v>
      </c>
      <c r="B288" s="1" t="s">
        <v>3</v>
      </c>
      <c r="C288" s="1">
        <f>(321.2*(1))*(1000)</f>
        <v>321200</v>
      </c>
      <c r="D288" s="1">
        <v>0</v>
      </c>
    </row>
    <row r="289" spans="1:4" x14ac:dyDescent="0.25">
      <c r="A289" s="2">
        <v>39783</v>
      </c>
      <c r="B289" s="1" t="s">
        <v>3</v>
      </c>
      <c r="C289" s="1">
        <f>(322.7*(1))*(1000)</f>
        <v>322700</v>
      </c>
      <c r="D289" s="1">
        <v>0</v>
      </c>
    </row>
    <row r="290" spans="1:4" x14ac:dyDescent="0.25">
      <c r="A290" s="2">
        <v>39814</v>
      </c>
      <c r="B290" s="1" t="s">
        <v>3</v>
      </c>
      <c r="C290" s="1">
        <f>(320.2*(1))*(1000)</f>
        <v>320200</v>
      </c>
      <c r="D290" s="1">
        <v>0</v>
      </c>
    </row>
    <row r="291" spans="1:4" x14ac:dyDescent="0.25">
      <c r="A291" s="2">
        <v>39845</v>
      </c>
      <c r="B291" s="1" t="s">
        <v>3</v>
      </c>
      <c r="C291" s="1">
        <f>(321*(1))*(1000)</f>
        <v>321000</v>
      </c>
      <c r="D291" s="1">
        <v>0</v>
      </c>
    </row>
    <row r="292" spans="1:4" x14ac:dyDescent="0.25">
      <c r="A292" s="2">
        <v>39873</v>
      </c>
      <c r="B292" s="1" t="s">
        <v>3</v>
      </c>
      <c r="C292" s="1">
        <f>(319.9*(1))*(1000)</f>
        <v>319900</v>
      </c>
      <c r="D292" s="1">
        <v>0</v>
      </c>
    </row>
    <row r="293" spans="1:4" x14ac:dyDescent="0.25">
      <c r="A293" s="2">
        <v>39904</v>
      </c>
      <c r="B293" s="1" t="s">
        <v>3</v>
      </c>
      <c r="C293" s="1">
        <f>(320.5*(1))*(1000)</f>
        <v>320500</v>
      </c>
      <c r="D293" s="1">
        <v>0</v>
      </c>
    </row>
    <row r="294" spans="1:4" x14ac:dyDescent="0.25">
      <c r="A294" s="2">
        <v>39934</v>
      </c>
      <c r="B294" s="1" t="s">
        <v>3</v>
      </c>
      <c r="C294" s="1">
        <f>(319.7*(1))*(1000)</f>
        <v>319700</v>
      </c>
      <c r="D294" s="1">
        <v>0</v>
      </c>
    </row>
    <row r="295" spans="1:4" x14ac:dyDescent="0.25">
      <c r="A295" s="2">
        <v>39965</v>
      </c>
      <c r="B295" s="1" t="s">
        <v>3</v>
      </c>
      <c r="C295" s="1">
        <f>(319.6*(1))*(1000)</f>
        <v>319600</v>
      </c>
      <c r="D295" s="1">
        <v>0</v>
      </c>
    </row>
    <row r="296" spans="1:4" x14ac:dyDescent="0.25">
      <c r="A296" s="2">
        <v>39995</v>
      </c>
      <c r="B296" s="1" t="s">
        <v>3</v>
      </c>
      <c r="C296" s="1">
        <f>(319.4*(1))*(1000)</f>
        <v>319400</v>
      </c>
      <c r="D296" s="1">
        <v>0</v>
      </c>
    </row>
    <row r="297" spans="1:4" x14ac:dyDescent="0.25">
      <c r="A297" s="2">
        <v>40026</v>
      </c>
      <c r="B297" s="1" t="s">
        <v>3</v>
      </c>
      <c r="C297" s="1">
        <f>(319.5*(1))*(1000)</f>
        <v>319500</v>
      </c>
      <c r="D297" s="1">
        <v>0</v>
      </c>
    </row>
    <row r="298" spans="1:4" x14ac:dyDescent="0.25">
      <c r="A298" s="2">
        <v>40057</v>
      </c>
      <c r="B298" s="1" t="s">
        <v>3</v>
      </c>
      <c r="C298" s="1">
        <f>(319.8*(1))*(1000)</f>
        <v>319800</v>
      </c>
      <c r="D298" s="1">
        <v>0</v>
      </c>
    </row>
    <row r="299" spans="1:4" x14ac:dyDescent="0.25">
      <c r="A299" s="2">
        <v>40087</v>
      </c>
      <c r="B299" s="1" t="s">
        <v>3</v>
      </c>
      <c r="C299" s="1">
        <f>(320.1*(1))*(1000)</f>
        <v>320100</v>
      </c>
      <c r="D299" s="1">
        <v>0</v>
      </c>
    </row>
    <row r="300" spans="1:4" x14ac:dyDescent="0.25">
      <c r="A300" s="2">
        <v>40118</v>
      </c>
      <c r="B300" s="1" t="s">
        <v>3</v>
      </c>
      <c r="C300" s="1">
        <f>(320*(1))*(1000)</f>
        <v>320000</v>
      </c>
      <c r="D300" s="1">
        <v>0</v>
      </c>
    </row>
    <row r="301" spans="1:4" x14ac:dyDescent="0.25">
      <c r="A301" s="2">
        <v>40148</v>
      </c>
      <c r="B301" s="1" t="s">
        <v>3</v>
      </c>
      <c r="C301" s="1">
        <f>(319*(1))*(1000)</f>
        <v>319000</v>
      </c>
      <c r="D301" s="1">
        <v>0</v>
      </c>
    </row>
    <row r="302" spans="1:4" x14ac:dyDescent="0.25">
      <c r="A302" s="2">
        <v>40179</v>
      </c>
      <c r="B302" s="1" t="s">
        <v>3</v>
      </c>
      <c r="C302" s="1">
        <f>(320.6*(1))*(1000)</f>
        <v>320600</v>
      </c>
      <c r="D302" s="1">
        <v>0</v>
      </c>
    </row>
    <row r="303" spans="1:4" x14ac:dyDescent="0.25">
      <c r="A303" s="2">
        <v>40210</v>
      </c>
      <c r="B303" s="1" t="s">
        <v>3</v>
      </c>
      <c r="C303" s="1">
        <f>(320*(1))*(1000)</f>
        <v>320000</v>
      </c>
      <c r="D303" s="1">
        <v>0</v>
      </c>
    </row>
    <row r="304" spans="1:4" x14ac:dyDescent="0.25">
      <c r="A304" s="2">
        <v>40238</v>
      </c>
      <c r="B304" s="1" t="s">
        <v>3</v>
      </c>
      <c r="C304" s="1">
        <f>(320.3*(1))*(1000)</f>
        <v>320300</v>
      </c>
      <c r="D304" s="1">
        <v>0</v>
      </c>
    </row>
    <row r="305" spans="1:4" x14ac:dyDescent="0.25">
      <c r="A305" s="2">
        <v>40269</v>
      </c>
      <c r="B305" s="1" t="s">
        <v>3</v>
      </c>
      <c r="C305" s="1">
        <f>(322.2*(1))*(1000)</f>
        <v>322200</v>
      </c>
      <c r="D305" s="1">
        <v>0</v>
      </c>
    </row>
    <row r="306" spans="1:4" x14ac:dyDescent="0.25">
      <c r="A306" s="2">
        <v>40299</v>
      </c>
      <c r="B306" s="1" t="s">
        <v>3</v>
      </c>
      <c r="C306" s="1">
        <f>(323*(1))*(1000)</f>
        <v>323000</v>
      </c>
      <c r="D306" s="1">
        <v>0</v>
      </c>
    </row>
    <row r="307" spans="1:4" x14ac:dyDescent="0.25">
      <c r="A307" s="2">
        <v>40330</v>
      </c>
      <c r="B307" s="1" t="s">
        <v>3</v>
      </c>
      <c r="C307" s="1">
        <f>(325.2*(1))*(1000)</f>
        <v>325200</v>
      </c>
      <c r="D307" s="1">
        <v>0</v>
      </c>
    </row>
    <row r="308" spans="1:4" x14ac:dyDescent="0.25">
      <c r="A308" s="2">
        <v>40360</v>
      </c>
      <c r="B308" s="1" t="s">
        <v>3</v>
      </c>
      <c r="C308" s="1">
        <f>(325.3*(1))*(1000)</f>
        <v>325300</v>
      </c>
      <c r="D308" s="1">
        <v>0</v>
      </c>
    </row>
    <row r="309" spans="1:4" x14ac:dyDescent="0.25">
      <c r="A309" s="2">
        <v>40391</v>
      </c>
      <c r="B309" s="1" t="s">
        <v>3</v>
      </c>
      <c r="C309" s="1">
        <f>(325*(1))*(1000)</f>
        <v>325000</v>
      </c>
      <c r="D309" s="1">
        <v>0</v>
      </c>
    </row>
    <row r="310" spans="1:4" x14ac:dyDescent="0.25">
      <c r="A310" s="2">
        <v>40422</v>
      </c>
      <c r="B310" s="1" t="s">
        <v>3</v>
      </c>
      <c r="C310" s="1">
        <f>(325.3*(1))*(1000)</f>
        <v>325300</v>
      </c>
      <c r="D310" s="1">
        <v>0</v>
      </c>
    </row>
    <row r="311" spans="1:4" x14ac:dyDescent="0.25">
      <c r="A311" s="2">
        <v>40452</v>
      </c>
      <c r="B311" s="1" t="s">
        <v>3</v>
      </c>
      <c r="C311" s="1">
        <f>(326.3*(1))*(1000)</f>
        <v>326300</v>
      </c>
      <c r="D311" s="1">
        <v>0</v>
      </c>
    </row>
    <row r="312" spans="1:4" x14ac:dyDescent="0.25">
      <c r="A312" s="2">
        <v>40483</v>
      </c>
      <c r="B312" s="1" t="s">
        <v>3</v>
      </c>
      <c r="C312" s="1">
        <f>(327*(1))*(1000)</f>
        <v>327000</v>
      </c>
      <c r="D312" s="1">
        <v>0</v>
      </c>
    </row>
    <row r="313" spans="1:4" x14ac:dyDescent="0.25">
      <c r="A313" s="2">
        <v>40513</v>
      </c>
      <c r="B313" s="1" t="s">
        <v>3</v>
      </c>
      <c r="C313" s="1">
        <f>(327.2*(1))*(1000)</f>
        <v>327200</v>
      </c>
      <c r="D313" s="1">
        <v>0</v>
      </c>
    </row>
    <row r="314" spans="1:4" x14ac:dyDescent="0.25">
      <c r="A314" s="2">
        <v>40544</v>
      </c>
      <c r="B314" s="1" t="s">
        <v>3</v>
      </c>
      <c r="C314" s="1">
        <f>(328.4*(1))*(1000)</f>
        <v>328400</v>
      </c>
      <c r="D314" s="1">
        <v>0</v>
      </c>
    </row>
    <row r="315" spans="1:4" x14ac:dyDescent="0.25">
      <c r="A315" s="2">
        <v>40575</v>
      </c>
      <c r="B315" s="1" t="s">
        <v>3</v>
      </c>
      <c r="C315" s="1">
        <f>(327.8*(1))*(1000)</f>
        <v>327800</v>
      </c>
      <c r="D315" s="1">
        <v>0</v>
      </c>
    </row>
    <row r="316" spans="1:4" x14ac:dyDescent="0.25">
      <c r="A316" s="2">
        <v>40603</v>
      </c>
      <c r="B316" s="1" t="s">
        <v>3</v>
      </c>
      <c r="C316" s="1">
        <f>(327.7*(1))*(1000)</f>
        <v>327700</v>
      </c>
      <c r="D316" s="1">
        <v>0</v>
      </c>
    </row>
    <row r="317" spans="1:4" x14ac:dyDescent="0.25">
      <c r="A317" s="2">
        <v>40634</v>
      </c>
      <c r="B317" s="1" t="s">
        <v>3</v>
      </c>
      <c r="C317" s="1">
        <f>(328.4*(1))*(1000)</f>
        <v>328400</v>
      </c>
      <c r="D317" s="1">
        <v>0</v>
      </c>
    </row>
    <row r="318" spans="1:4" x14ac:dyDescent="0.25">
      <c r="A318" s="2">
        <v>40664</v>
      </c>
      <c r="B318" s="1" t="s">
        <v>3</v>
      </c>
      <c r="C318" s="1">
        <f>(327.8*(1))*(1000)</f>
        <v>327800</v>
      </c>
      <c r="D318" s="1">
        <v>0</v>
      </c>
    </row>
    <row r="319" spans="1:4" x14ac:dyDescent="0.25">
      <c r="A319" s="2">
        <v>40695</v>
      </c>
      <c r="B319" s="1" t="s">
        <v>3</v>
      </c>
      <c r="C319" s="1">
        <f>(329.2*(1))*(1000)</f>
        <v>329200</v>
      </c>
      <c r="D319" s="1">
        <v>0</v>
      </c>
    </row>
    <row r="320" spans="1:4" x14ac:dyDescent="0.25">
      <c r="A320" s="2">
        <v>40725</v>
      </c>
      <c r="B320" s="1" t="s">
        <v>3</v>
      </c>
      <c r="C320" s="1">
        <f>(330*(1))*(1000)</f>
        <v>330000</v>
      </c>
      <c r="D320" s="1">
        <v>0</v>
      </c>
    </row>
    <row r="321" spans="1:4" x14ac:dyDescent="0.25">
      <c r="A321" s="2">
        <v>40756</v>
      </c>
      <c r="B321" s="1" t="s">
        <v>3</v>
      </c>
      <c r="C321" s="1">
        <f>(329.1*(1))*(1000)</f>
        <v>329100</v>
      </c>
      <c r="D321" s="1">
        <v>0</v>
      </c>
    </row>
    <row r="322" spans="1:4" x14ac:dyDescent="0.25">
      <c r="A322" s="2">
        <v>40787</v>
      </c>
      <c r="B322" s="1" t="s">
        <v>3</v>
      </c>
      <c r="C322" s="1">
        <f>(330.9*(1))*(1000)</f>
        <v>330900</v>
      </c>
      <c r="D322" s="1">
        <v>0</v>
      </c>
    </row>
    <row r="323" spans="1:4" x14ac:dyDescent="0.25">
      <c r="A323" s="2">
        <v>40817</v>
      </c>
      <c r="B323" s="1" t="s">
        <v>3</v>
      </c>
      <c r="C323" s="1">
        <f>(331*(1))*(1000)</f>
        <v>331000</v>
      </c>
      <c r="D323" s="1">
        <v>0</v>
      </c>
    </row>
    <row r="324" spans="1:4" x14ac:dyDescent="0.25">
      <c r="A324" s="2">
        <v>40848</v>
      </c>
      <c r="B324" s="1" t="s">
        <v>3</v>
      </c>
      <c r="C324" s="1">
        <f>(331.4*(1))*(1000)</f>
        <v>331400</v>
      </c>
      <c r="D324" s="1">
        <v>0</v>
      </c>
    </row>
    <row r="325" spans="1:4" x14ac:dyDescent="0.25">
      <c r="A325" s="2">
        <v>40878</v>
      </c>
      <c r="B325" s="1" t="s">
        <v>3</v>
      </c>
      <c r="C325" s="1">
        <f>(331.7*(1))*(1000)</f>
        <v>331700</v>
      </c>
      <c r="D325" s="1">
        <v>0</v>
      </c>
    </row>
    <row r="326" spans="1:4" x14ac:dyDescent="0.25">
      <c r="A326" s="2">
        <v>40909</v>
      </c>
      <c r="B326" s="1" t="s">
        <v>3</v>
      </c>
      <c r="C326" s="1">
        <f>(333.6*(1))*(1000)</f>
        <v>333600</v>
      </c>
      <c r="D326" s="1">
        <v>0</v>
      </c>
    </row>
    <row r="327" spans="1:4" x14ac:dyDescent="0.25">
      <c r="A327" s="2">
        <v>40940</v>
      </c>
      <c r="B327" s="1" t="s">
        <v>3</v>
      </c>
      <c r="C327" s="1">
        <f>(333.7*(1))*(1000)</f>
        <v>333700</v>
      </c>
      <c r="D327" s="1">
        <v>0</v>
      </c>
    </row>
    <row r="328" spans="1:4" x14ac:dyDescent="0.25">
      <c r="A328" s="2">
        <v>40969</v>
      </c>
      <c r="B328" s="1" t="s">
        <v>3</v>
      </c>
      <c r="C328" s="1">
        <f>(334.2*(1))*(1000)</f>
        <v>334200</v>
      </c>
      <c r="D328" s="1">
        <v>0</v>
      </c>
    </row>
    <row r="329" spans="1:4" x14ac:dyDescent="0.25">
      <c r="A329" s="2">
        <v>41000</v>
      </c>
      <c r="B329" s="1" t="s">
        <v>3</v>
      </c>
      <c r="C329" s="1">
        <f>(334.7*(1))*(1000)</f>
        <v>334700</v>
      </c>
      <c r="D329" s="1">
        <v>0</v>
      </c>
    </row>
    <row r="330" spans="1:4" x14ac:dyDescent="0.25">
      <c r="A330" s="2">
        <v>41030</v>
      </c>
      <c r="B330" s="1" t="s">
        <v>3</v>
      </c>
      <c r="C330" s="1">
        <f>(335.5*(1))*(1000)</f>
        <v>335500</v>
      </c>
      <c r="D330" s="1">
        <v>0</v>
      </c>
    </row>
    <row r="331" spans="1:4" x14ac:dyDescent="0.25">
      <c r="A331" s="2">
        <v>41061</v>
      </c>
      <c r="B331" s="1" t="s">
        <v>3</v>
      </c>
      <c r="C331" s="1">
        <f>(334.7*(1))*(1000)</f>
        <v>334700</v>
      </c>
      <c r="D331" s="1">
        <v>0</v>
      </c>
    </row>
    <row r="332" spans="1:4" x14ac:dyDescent="0.25">
      <c r="A332" s="2">
        <v>41091</v>
      </c>
      <c r="B332" s="1" t="s">
        <v>3</v>
      </c>
      <c r="C332" s="1">
        <f>(334*(1))*(1000)</f>
        <v>334000</v>
      </c>
      <c r="D332" s="1">
        <v>0</v>
      </c>
    </row>
    <row r="333" spans="1:4" x14ac:dyDescent="0.25">
      <c r="A333" s="2">
        <v>41122</v>
      </c>
      <c r="B333" s="1" t="s">
        <v>3</v>
      </c>
      <c r="C333" s="1">
        <f>(333.7*(1))*(1000)</f>
        <v>333700</v>
      </c>
      <c r="D333" s="1">
        <v>0</v>
      </c>
    </row>
    <row r="334" spans="1:4" x14ac:dyDescent="0.25">
      <c r="A334" s="2">
        <v>41153</v>
      </c>
      <c r="B334" s="1" t="s">
        <v>3</v>
      </c>
      <c r="C334" s="1">
        <f>(334.6*(1))*(1000)</f>
        <v>334600</v>
      </c>
      <c r="D334" s="1">
        <v>0</v>
      </c>
    </row>
    <row r="335" spans="1:4" x14ac:dyDescent="0.25">
      <c r="A335" s="2">
        <v>41183</v>
      </c>
      <c r="B335" s="1" t="s">
        <v>3</v>
      </c>
      <c r="C335" s="1">
        <f>(338.6*(1))*(1000)</f>
        <v>338600</v>
      </c>
      <c r="D335" s="1">
        <v>0</v>
      </c>
    </row>
    <row r="336" spans="1:4" x14ac:dyDescent="0.25">
      <c r="A336" s="2">
        <v>41214</v>
      </c>
      <c r="B336" s="1" t="s">
        <v>3</v>
      </c>
      <c r="C336" s="1">
        <f>(335.4*(1))*(1000)</f>
        <v>335400</v>
      </c>
      <c r="D336" s="1">
        <v>0</v>
      </c>
    </row>
    <row r="337" spans="1:4" x14ac:dyDescent="0.25">
      <c r="A337" s="2">
        <v>41244</v>
      </c>
      <c r="B337" s="1" t="s">
        <v>3</v>
      </c>
      <c r="C337" s="1">
        <f>(335.5*(1))*(1000)</f>
        <v>335500</v>
      </c>
      <c r="D337" s="1">
        <v>0</v>
      </c>
    </row>
    <row r="338" spans="1:4" x14ac:dyDescent="0.25">
      <c r="A338" s="2">
        <v>41275</v>
      </c>
      <c r="B338" s="1" t="s">
        <v>3</v>
      </c>
      <c r="C338" s="1">
        <f>(335.8*(1))*(1000)</f>
        <v>335800</v>
      </c>
      <c r="D338" s="1">
        <v>0</v>
      </c>
    </row>
    <row r="339" spans="1:4" x14ac:dyDescent="0.25">
      <c r="A339" s="2">
        <v>41306</v>
      </c>
      <c r="B339" s="1" t="s">
        <v>3</v>
      </c>
      <c r="C339" s="1">
        <f>(336.2*(1))*(1000)</f>
        <v>336200</v>
      </c>
      <c r="D339" s="1">
        <v>0</v>
      </c>
    </row>
    <row r="340" spans="1:4" x14ac:dyDescent="0.25">
      <c r="A340" s="2">
        <v>41334</v>
      </c>
      <c r="B340" s="1" t="s">
        <v>3</v>
      </c>
      <c r="C340" s="1">
        <f>(336.2*(1))*(1000)</f>
        <v>336200</v>
      </c>
      <c r="D340" s="1">
        <v>0</v>
      </c>
    </row>
    <row r="341" spans="1:4" x14ac:dyDescent="0.25">
      <c r="A341" s="2">
        <v>41365</v>
      </c>
      <c r="B341" s="1" t="s">
        <v>3</v>
      </c>
      <c r="C341" s="1">
        <f>(336.9*(1))*(1000)</f>
        <v>336900</v>
      </c>
      <c r="D341" s="1">
        <v>0</v>
      </c>
    </row>
    <row r="342" spans="1:4" x14ac:dyDescent="0.25">
      <c r="A342" s="2">
        <v>41395</v>
      </c>
      <c r="B342" s="1" t="s">
        <v>3</v>
      </c>
      <c r="C342" s="1">
        <f>(335.7*(1))*(1000)</f>
        <v>335700</v>
      </c>
      <c r="D342" s="1">
        <v>0</v>
      </c>
    </row>
    <row r="343" spans="1:4" x14ac:dyDescent="0.25">
      <c r="A343" s="2">
        <v>41426</v>
      </c>
      <c r="B343" s="1" t="s">
        <v>3</v>
      </c>
      <c r="C343" s="1">
        <f>(336.1*(1))*(1000)</f>
        <v>336100</v>
      </c>
      <c r="D343" s="1">
        <v>0</v>
      </c>
    </row>
    <row r="344" spans="1:4" x14ac:dyDescent="0.25">
      <c r="A344" s="2">
        <v>41456</v>
      </c>
      <c r="B344" s="1" t="s">
        <v>3</v>
      </c>
      <c r="C344" s="1">
        <f>(335.5*(1))*(1000)</f>
        <v>335500</v>
      </c>
      <c r="D344" s="1">
        <v>0</v>
      </c>
    </row>
    <row r="345" spans="1:4" x14ac:dyDescent="0.25">
      <c r="A345" s="2">
        <v>41487</v>
      </c>
      <c r="B345" s="1" t="s">
        <v>3</v>
      </c>
      <c r="C345" s="1">
        <f>(336.3*(1))*(1000)</f>
        <v>336300</v>
      </c>
      <c r="D345" s="1">
        <v>0</v>
      </c>
    </row>
    <row r="346" spans="1:4" x14ac:dyDescent="0.25">
      <c r="A346" s="2">
        <v>41518</v>
      </c>
      <c r="B346" s="1" t="s">
        <v>3</v>
      </c>
      <c r="C346" s="1">
        <f>(336.6*(1))*(1000)</f>
        <v>336600</v>
      </c>
      <c r="D346" s="1">
        <v>0</v>
      </c>
    </row>
    <row r="347" spans="1:4" x14ac:dyDescent="0.25">
      <c r="A347" s="2">
        <v>41548</v>
      </c>
      <c r="B347" s="1" t="s">
        <v>3</v>
      </c>
      <c r="C347" s="1">
        <f>(337.2*(1))*(1000)</f>
        <v>337200</v>
      </c>
      <c r="D347" s="1">
        <v>0</v>
      </c>
    </row>
    <row r="348" spans="1:4" x14ac:dyDescent="0.25">
      <c r="A348" s="2">
        <v>41579</v>
      </c>
      <c r="B348" s="1" t="s">
        <v>3</v>
      </c>
      <c r="C348" s="1">
        <f>(338.6*(1))*(1000)</f>
        <v>338600</v>
      </c>
      <c r="D348" s="1">
        <v>0</v>
      </c>
    </row>
    <row r="349" spans="1:4" x14ac:dyDescent="0.25">
      <c r="A349" s="2">
        <v>41609</v>
      </c>
      <c r="B349" s="1" t="s">
        <v>3</v>
      </c>
      <c r="C349" s="1">
        <f>(338.8*(1))*(1000)</f>
        <v>338800</v>
      </c>
      <c r="D349" s="1">
        <v>0</v>
      </c>
    </row>
    <row r="350" spans="1:4" x14ac:dyDescent="0.25">
      <c r="A350" s="2">
        <v>41640</v>
      </c>
      <c r="B350" s="1" t="s">
        <v>3</v>
      </c>
      <c r="C350" s="1">
        <f>(338*(1))*(1000)</f>
        <v>338000</v>
      </c>
      <c r="D350" s="1">
        <v>0</v>
      </c>
    </row>
    <row r="351" spans="1:4" x14ac:dyDescent="0.25">
      <c r="A351" s="2">
        <v>41671</v>
      </c>
      <c r="B351" s="1" t="s">
        <v>3</v>
      </c>
      <c r="C351" s="1">
        <f>(335.8*(1))*(1000)</f>
        <v>335800</v>
      </c>
      <c r="D351" s="1">
        <v>0</v>
      </c>
    </row>
    <row r="352" spans="1:4" x14ac:dyDescent="0.25">
      <c r="A352" s="2">
        <v>41699</v>
      </c>
      <c r="B352" s="1" t="s">
        <v>3</v>
      </c>
      <c r="C352" s="1">
        <f>(336.4*(1))*(1000)</f>
        <v>336400</v>
      </c>
      <c r="D352" s="1">
        <v>0</v>
      </c>
    </row>
    <row r="353" spans="1:4" x14ac:dyDescent="0.25">
      <c r="A353" s="2">
        <v>41730</v>
      </c>
      <c r="B353" s="1" t="s">
        <v>3</v>
      </c>
      <c r="C353" s="1">
        <f>(338.8*(1))*(1000)</f>
        <v>338800</v>
      </c>
      <c r="D353" s="1">
        <v>0</v>
      </c>
    </row>
    <row r="354" spans="1:4" x14ac:dyDescent="0.25">
      <c r="A354" s="2">
        <v>41760</v>
      </c>
      <c r="B354" s="1" t="s">
        <v>3</v>
      </c>
      <c r="C354" s="1">
        <f>(339.5*(1))*(1000)</f>
        <v>339500</v>
      </c>
      <c r="D354" s="1">
        <v>0</v>
      </c>
    </row>
    <row r="355" spans="1:4" x14ac:dyDescent="0.25">
      <c r="A355" s="2">
        <v>41791</v>
      </c>
      <c r="B355" s="1" t="s">
        <v>3</v>
      </c>
      <c r="C355" s="1">
        <f>(333.4*(1))*(1000)</f>
        <v>333400</v>
      </c>
      <c r="D355" s="1">
        <v>0</v>
      </c>
    </row>
    <row r="356" spans="1:4" x14ac:dyDescent="0.25">
      <c r="A356" s="2">
        <v>41821</v>
      </c>
      <c r="B356" s="1" t="s">
        <v>3</v>
      </c>
      <c r="C356" s="1">
        <f>(332.9*(1))*(1000)</f>
        <v>332900</v>
      </c>
      <c r="D356" s="1">
        <v>0</v>
      </c>
    </row>
    <row r="357" spans="1:4" x14ac:dyDescent="0.25">
      <c r="A357" s="2">
        <v>41852</v>
      </c>
      <c r="B357" s="1" t="s">
        <v>3</v>
      </c>
      <c r="C357" s="1">
        <f>(333.1*(1))*(1000)</f>
        <v>333100</v>
      </c>
      <c r="D357" s="1">
        <v>0</v>
      </c>
    </row>
    <row r="358" spans="1:4" x14ac:dyDescent="0.25">
      <c r="A358" s="2">
        <v>41883</v>
      </c>
      <c r="B358" s="1" t="s">
        <v>3</v>
      </c>
      <c r="C358" s="1">
        <f>(335.1*(1))*(1000)</f>
        <v>335100</v>
      </c>
      <c r="D358" s="1">
        <v>0</v>
      </c>
    </row>
    <row r="359" spans="1:4" x14ac:dyDescent="0.25">
      <c r="A359" s="2">
        <v>41913</v>
      </c>
      <c r="B359" s="1" t="s">
        <v>3</v>
      </c>
      <c r="C359" s="1">
        <f>(335.8*(1))*(1000)</f>
        <v>335800</v>
      </c>
      <c r="D359" s="1">
        <v>0</v>
      </c>
    </row>
    <row r="360" spans="1:4" x14ac:dyDescent="0.25">
      <c r="A360" s="2">
        <v>41944</v>
      </c>
      <c r="B360" s="1" t="s">
        <v>3</v>
      </c>
      <c r="C360" s="1">
        <f>(338.4*(1))*(1000)</f>
        <v>338400</v>
      </c>
      <c r="D360" s="1">
        <v>0</v>
      </c>
    </row>
    <row r="361" spans="1:4" x14ac:dyDescent="0.25">
      <c r="A361" s="2">
        <v>41974</v>
      </c>
      <c r="B361" s="1" t="s">
        <v>3</v>
      </c>
      <c r="C361" s="1">
        <f>(340.9*(1))*(1000)</f>
        <v>340900</v>
      </c>
      <c r="D361" s="1">
        <v>0</v>
      </c>
    </row>
    <row r="362" spans="1:4" x14ac:dyDescent="0.25">
      <c r="A362" s="2">
        <v>36526</v>
      </c>
      <c r="B362" s="1" t="s">
        <v>4</v>
      </c>
      <c r="C362" s="1">
        <f>(9309.6*(1))*(1000)</f>
        <v>9309600</v>
      </c>
      <c r="D362" s="1">
        <v>0</v>
      </c>
    </row>
    <row r="363" spans="1:4" x14ac:dyDescent="0.25">
      <c r="A363" s="2">
        <v>36557</v>
      </c>
      <c r="B363" s="1" t="s">
        <v>4</v>
      </c>
      <c r="C363" s="1">
        <f>(9333*(1))*(1000)</f>
        <v>9333000</v>
      </c>
      <c r="D363" s="1">
        <v>0</v>
      </c>
    </row>
    <row r="364" spans="1:4" x14ac:dyDescent="0.25">
      <c r="A364" s="2">
        <v>36586</v>
      </c>
      <c r="B364" s="1" t="s">
        <v>4</v>
      </c>
      <c r="C364" s="1">
        <f>(9364.5*(1))*(1000)</f>
        <v>9364500</v>
      </c>
      <c r="D364" s="1">
        <v>0</v>
      </c>
    </row>
    <row r="365" spans="1:4" x14ac:dyDescent="0.25">
      <c r="A365" s="2">
        <v>36617</v>
      </c>
      <c r="B365" s="1" t="s">
        <v>4</v>
      </c>
      <c r="C365" s="1">
        <f>(9372.4*(1))*(1000)</f>
        <v>9372400</v>
      </c>
      <c r="D365" s="1">
        <v>0</v>
      </c>
    </row>
    <row r="366" spans="1:4" x14ac:dyDescent="0.25">
      <c r="A366" s="2">
        <v>36647</v>
      </c>
      <c r="B366" s="1" t="s">
        <v>4</v>
      </c>
      <c r="C366" s="1">
        <f>(9415.7*(1))*(1000)</f>
        <v>9415700</v>
      </c>
      <c r="D366" s="1">
        <v>0</v>
      </c>
    </row>
    <row r="367" spans="1:4" x14ac:dyDescent="0.25">
      <c r="A367" s="2">
        <v>36678</v>
      </c>
      <c r="B367" s="1" t="s">
        <v>4</v>
      </c>
      <c r="C367" s="1">
        <f>(9425.8*(1))*(1000)</f>
        <v>9425800</v>
      </c>
      <c r="D367" s="1">
        <v>0</v>
      </c>
    </row>
    <row r="368" spans="1:4" x14ac:dyDescent="0.25">
      <c r="A368" s="2">
        <v>36708</v>
      </c>
      <c r="B368" s="1" t="s">
        <v>4</v>
      </c>
      <c r="C368" s="1">
        <f>(9436.9*(1))*(1000)</f>
        <v>9436900</v>
      </c>
      <c r="D368" s="1">
        <v>0</v>
      </c>
    </row>
    <row r="369" spans="1:4" x14ac:dyDescent="0.25">
      <c r="A369" s="2">
        <v>36739</v>
      </c>
      <c r="B369" s="1" t="s">
        <v>4</v>
      </c>
      <c r="C369" s="1">
        <f>(9463.6*(1))*(1000)</f>
        <v>9463600</v>
      </c>
      <c r="D369" s="1">
        <v>0</v>
      </c>
    </row>
    <row r="370" spans="1:4" x14ac:dyDescent="0.25">
      <c r="A370" s="2">
        <v>36770</v>
      </c>
      <c r="B370" s="1" t="s">
        <v>4</v>
      </c>
      <c r="C370" s="1">
        <f>(9485.9*(1))*(1000)</f>
        <v>9485900</v>
      </c>
      <c r="D370" s="1">
        <v>0</v>
      </c>
    </row>
    <row r="371" spans="1:4" x14ac:dyDescent="0.25">
      <c r="A371" s="2">
        <v>36800</v>
      </c>
      <c r="B371" s="1" t="s">
        <v>4</v>
      </c>
      <c r="C371" s="1">
        <f>(9496.2*(1))*(1000)</f>
        <v>9496200</v>
      </c>
      <c r="D371" s="1">
        <v>0</v>
      </c>
    </row>
    <row r="372" spans="1:4" x14ac:dyDescent="0.25">
      <c r="A372" s="2">
        <v>36831</v>
      </c>
      <c r="B372" s="1" t="s">
        <v>4</v>
      </c>
      <c r="C372" s="1">
        <f>(9509.6*(1))*(1000)</f>
        <v>9509600</v>
      </c>
      <c r="D372" s="1">
        <v>0</v>
      </c>
    </row>
    <row r="373" spans="1:4" x14ac:dyDescent="0.25">
      <c r="A373" s="2">
        <v>36861</v>
      </c>
      <c r="B373" s="1" t="s">
        <v>4</v>
      </c>
      <c r="C373" s="1">
        <f>(9535*(1))*(1000)</f>
        <v>9535000</v>
      </c>
      <c r="D373" s="1">
        <v>0</v>
      </c>
    </row>
    <row r="374" spans="1:4" x14ac:dyDescent="0.25">
      <c r="A374" s="2">
        <v>36892</v>
      </c>
      <c r="B374" s="1" t="s">
        <v>4</v>
      </c>
      <c r="C374" s="1">
        <f>(9539*(1))*(1000)</f>
        <v>9539000</v>
      </c>
      <c r="D374" s="1">
        <v>0</v>
      </c>
    </row>
    <row r="375" spans="1:4" x14ac:dyDescent="0.25">
      <c r="A375" s="2">
        <v>36923</v>
      </c>
      <c r="B375" s="1" t="s">
        <v>4</v>
      </c>
      <c r="C375" s="1">
        <f>(9548*(1))*(1000)</f>
        <v>9548000</v>
      </c>
      <c r="D375" s="1">
        <v>0</v>
      </c>
    </row>
    <row r="376" spans="1:4" x14ac:dyDescent="0.25">
      <c r="A376" s="2">
        <v>36951</v>
      </c>
      <c r="B376" s="1" t="s">
        <v>4</v>
      </c>
      <c r="C376" s="1">
        <f>(9554.8*(1))*(1000)</f>
        <v>9554800</v>
      </c>
      <c r="D376" s="1">
        <v>0</v>
      </c>
    </row>
    <row r="377" spans="1:4" x14ac:dyDescent="0.25">
      <c r="A377" s="2">
        <v>36982</v>
      </c>
      <c r="B377" s="1" t="s">
        <v>4</v>
      </c>
      <c r="C377" s="1">
        <f>(9546.9*(1))*(1000)</f>
        <v>9546900</v>
      </c>
      <c r="D377" s="1">
        <v>0</v>
      </c>
    </row>
    <row r="378" spans="1:4" x14ac:dyDescent="0.25">
      <c r="A378" s="2">
        <v>37012</v>
      </c>
      <c r="B378" s="1" t="s">
        <v>4</v>
      </c>
      <c r="C378" s="1">
        <f>(9542.1*(1))*(1000)</f>
        <v>9542100</v>
      </c>
      <c r="D378" s="1">
        <v>0</v>
      </c>
    </row>
    <row r="379" spans="1:4" x14ac:dyDescent="0.25">
      <c r="A379" s="2">
        <v>37043</v>
      </c>
      <c r="B379" s="1" t="s">
        <v>4</v>
      </c>
      <c r="C379" s="1">
        <f>(9537.8*(1))*(1000)</f>
        <v>9537800</v>
      </c>
      <c r="D379" s="1">
        <v>0</v>
      </c>
    </row>
    <row r="380" spans="1:4" x14ac:dyDescent="0.25">
      <c r="A380" s="2">
        <v>37073</v>
      </c>
      <c r="B380" s="1" t="s">
        <v>4</v>
      </c>
      <c r="C380" s="1">
        <f>(9514*(1))*(1000)</f>
        <v>9514000</v>
      </c>
      <c r="D380" s="1">
        <v>0</v>
      </c>
    </row>
    <row r="381" spans="1:4" x14ac:dyDescent="0.25">
      <c r="A381" s="2">
        <v>37104</v>
      </c>
      <c r="B381" s="1" t="s">
        <v>4</v>
      </c>
      <c r="C381" s="1">
        <f>(9519.9*(1))*(1000)</f>
        <v>9519900</v>
      </c>
      <c r="D381" s="1">
        <v>0</v>
      </c>
    </row>
    <row r="382" spans="1:4" x14ac:dyDescent="0.25">
      <c r="A382" s="2">
        <v>37135</v>
      </c>
      <c r="B382" s="1" t="s">
        <v>4</v>
      </c>
      <c r="C382" s="1">
        <f>(9503.9*(1))*(1000)</f>
        <v>9503900</v>
      </c>
      <c r="D382" s="1">
        <v>0</v>
      </c>
    </row>
    <row r="383" spans="1:4" x14ac:dyDescent="0.25">
      <c r="A383" s="2">
        <v>37165</v>
      </c>
      <c r="B383" s="1" t="s">
        <v>4</v>
      </c>
      <c r="C383" s="1">
        <f>(9463.5*(1))*(1000)</f>
        <v>9463500</v>
      </c>
      <c r="D383" s="1">
        <v>0</v>
      </c>
    </row>
    <row r="384" spans="1:4" x14ac:dyDescent="0.25">
      <c r="A384" s="2">
        <v>37196</v>
      </c>
      <c r="B384" s="1" t="s">
        <v>4</v>
      </c>
      <c r="C384" s="1">
        <f>(9443.8*(1))*(1000)</f>
        <v>9443800</v>
      </c>
      <c r="D384" s="1">
        <v>0</v>
      </c>
    </row>
    <row r="385" spans="1:4" x14ac:dyDescent="0.25">
      <c r="A385" s="2">
        <v>37226</v>
      </c>
      <c r="B385" s="1" t="s">
        <v>4</v>
      </c>
      <c r="C385" s="1">
        <f>(9426*(1))*(1000)</f>
        <v>9426000</v>
      </c>
      <c r="D385" s="1">
        <v>0</v>
      </c>
    </row>
    <row r="386" spans="1:4" x14ac:dyDescent="0.25">
      <c r="A386" s="2">
        <v>37257</v>
      </c>
      <c r="B386" s="1" t="s">
        <v>4</v>
      </c>
      <c r="C386" s="1">
        <f>(9418.6*(1))*(1000)</f>
        <v>9418600</v>
      </c>
      <c r="D386" s="1">
        <v>0</v>
      </c>
    </row>
    <row r="387" spans="1:4" x14ac:dyDescent="0.25">
      <c r="A387" s="2">
        <v>37288</v>
      </c>
      <c r="B387" s="1" t="s">
        <v>4</v>
      </c>
      <c r="C387" s="1">
        <f>(9412.2*(1))*(1000)</f>
        <v>9412200</v>
      </c>
      <c r="D387" s="1">
        <v>0</v>
      </c>
    </row>
    <row r="388" spans="1:4" x14ac:dyDescent="0.25">
      <c r="A388" s="2">
        <v>37316</v>
      </c>
      <c r="B388" s="1" t="s">
        <v>4</v>
      </c>
      <c r="C388" s="1">
        <f>(9420*(1))*(1000)</f>
        <v>9420000</v>
      </c>
      <c r="D388" s="1">
        <v>0</v>
      </c>
    </row>
    <row r="389" spans="1:4" x14ac:dyDescent="0.25">
      <c r="A389" s="2">
        <v>37347</v>
      </c>
      <c r="B389" s="1" t="s">
        <v>4</v>
      </c>
      <c r="C389" s="1">
        <f>(9417.4*(1))*(1000)</f>
        <v>9417400</v>
      </c>
      <c r="D389" s="1">
        <v>0</v>
      </c>
    </row>
    <row r="390" spans="1:4" x14ac:dyDescent="0.25">
      <c r="A390" s="2">
        <v>37377</v>
      </c>
      <c r="B390" s="1" t="s">
        <v>4</v>
      </c>
      <c r="C390" s="1">
        <f>(9426.5*(1))*(1000)</f>
        <v>9426500</v>
      </c>
      <c r="D390" s="1">
        <v>0</v>
      </c>
    </row>
    <row r="391" spans="1:4" x14ac:dyDescent="0.25">
      <c r="A391" s="2">
        <v>37408</v>
      </c>
      <c r="B391" s="1" t="s">
        <v>4</v>
      </c>
      <c r="C391" s="1">
        <f>(9420*(1))*(1000)</f>
        <v>9420000</v>
      </c>
      <c r="D391" s="1">
        <v>0</v>
      </c>
    </row>
    <row r="392" spans="1:4" x14ac:dyDescent="0.25">
      <c r="A392" s="2">
        <v>37438</v>
      </c>
      <c r="B392" s="1" t="s">
        <v>4</v>
      </c>
      <c r="C392" s="1">
        <f>(9405.3*(1))*(1000)</f>
        <v>9405300</v>
      </c>
      <c r="D392" s="1">
        <v>0</v>
      </c>
    </row>
    <row r="393" spans="1:4" x14ac:dyDescent="0.25">
      <c r="A393" s="2">
        <v>37469</v>
      </c>
      <c r="B393" s="1" t="s">
        <v>4</v>
      </c>
      <c r="C393" s="1">
        <f>(9413.6*(1))*(1000)</f>
        <v>9413600</v>
      </c>
      <c r="D393" s="1">
        <v>0</v>
      </c>
    </row>
    <row r="394" spans="1:4" x14ac:dyDescent="0.25">
      <c r="A394" s="2">
        <v>37500</v>
      </c>
      <c r="B394" s="1" t="s">
        <v>4</v>
      </c>
      <c r="C394" s="1">
        <f>(9421.7*(1))*(1000)</f>
        <v>9421700</v>
      </c>
      <c r="D394" s="1">
        <v>0</v>
      </c>
    </row>
    <row r="395" spans="1:4" x14ac:dyDescent="0.25">
      <c r="A395" s="2">
        <v>37530</v>
      </c>
      <c r="B395" s="1" t="s">
        <v>4</v>
      </c>
      <c r="C395" s="1">
        <f>(9404.2*(1))*(1000)</f>
        <v>9404200</v>
      </c>
      <c r="D395" s="1">
        <v>0</v>
      </c>
    </row>
    <row r="396" spans="1:4" x14ac:dyDescent="0.25">
      <c r="A396" s="2">
        <v>37561</v>
      </c>
      <c r="B396" s="1" t="s">
        <v>4</v>
      </c>
      <c r="C396" s="1">
        <f>(9406.1*(1))*(1000)</f>
        <v>9406100</v>
      </c>
      <c r="D396" s="1">
        <v>0</v>
      </c>
    </row>
    <row r="397" spans="1:4" x14ac:dyDescent="0.25">
      <c r="A397" s="2">
        <v>37591</v>
      </c>
      <c r="B397" s="1" t="s">
        <v>4</v>
      </c>
      <c r="C397" s="1">
        <f>(9398*(1))*(1000)</f>
        <v>9398000</v>
      </c>
      <c r="D397" s="1">
        <v>0</v>
      </c>
    </row>
    <row r="398" spans="1:4" x14ac:dyDescent="0.25">
      <c r="A398" s="2">
        <v>37622</v>
      </c>
      <c r="B398" s="1" t="s">
        <v>4</v>
      </c>
      <c r="C398" s="1">
        <f>(9391.5*(1))*(1000)</f>
        <v>9391500</v>
      </c>
      <c r="D398" s="1">
        <v>0</v>
      </c>
    </row>
    <row r="399" spans="1:4" x14ac:dyDescent="0.25">
      <c r="A399" s="2">
        <v>37653</v>
      </c>
      <c r="B399" s="1" t="s">
        <v>4</v>
      </c>
      <c r="C399" s="1">
        <f>(9381.2*(1))*(1000)</f>
        <v>9381200</v>
      </c>
      <c r="D399" s="1">
        <v>0</v>
      </c>
    </row>
    <row r="400" spans="1:4" x14ac:dyDescent="0.25">
      <c r="A400" s="2">
        <v>37681</v>
      </c>
      <c r="B400" s="1" t="s">
        <v>4</v>
      </c>
      <c r="C400" s="1">
        <f>(9363.5*(1))*(1000)</f>
        <v>9363500</v>
      </c>
      <c r="D400" s="1">
        <v>0</v>
      </c>
    </row>
    <row r="401" spans="1:4" x14ac:dyDescent="0.25">
      <c r="A401" s="2">
        <v>37712</v>
      </c>
      <c r="B401" s="1" t="s">
        <v>4</v>
      </c>
      <c r="C401" s="1">
        <f>(9364.7*(1))*(1000)</f>
        <v>9364700</v>
      </c>
      <c r="D401" s="1">
        <v>0</v>
      </c>
    </row>
    <row r="402" spans="1:4" x14ac:dyDescent="0.25">
      <c r="A402" s="2">
        <v>37742</v>
      </c>
      <c r="B402" s="1" t="s">
        <v>4</v>
      </c>
      <c r="C402" s="1">
        <f>(9356.6*(1))*(1000)</f>
        <v>9356600</v>
      </c>
      <c r="D402" s="1">
        <v>0</v>
      </c>
    </row>
    <row r="403" spans="1:4" x14ac:dyDescent="0.25">
      <c r="A403" s="2">
        <v>37773</v>
      </c>
      <c r="B403" s="1" t="s">
        <v>4</v>
      </c>
      <c r="C403" s="1">
        <f>(9349.5*(1))*(1000)</f>
        <v>9349500</v>
      </c>
      <c r="D403" s="1">
        <v>0</v>
      </c>
    </row>
    <row r="404" spans="1:4" x14ac:dyDescent="0.25">
      <c r="A404" s="2">
        <v>37803</v>
      </c>
      <c r="B404" s="1" t="s">
        <v>4</v>
      </c>
      <c r="C404" s="1">
        <f>(9342.3*(1))*(1000)</f>
        <v>9342300</v>
      </c>
      <c r="D404" s="1">
        <v>0</v>
      </c>
    </row>
    <row r="405" spans="1:4" x14ac:dyDescent="0.25">
      <c r="A405" s="2">
        <v>37834</v>
      </c>
      <c r="B405" s="1" t="s">
        <v>4</v>
      </c>
      <c r="C405" s="1">
        <f>(9354.1*(1))*(1000)</f>
        <v>9354100</v>
      </c>
      <c r="D405" s="1">
        <v>0</v>
      </c>
    </row>
    <row r="406" spans="1:4" x14ac:dyDescent="0.25">
      <c r="A406" s="2">
        <v>37865</v>
      </c>
      <c r="B406" s="1" t="s">
        <v>4</v>
      </c>
      <c r="C406" s="1">
        <f>(9368*(1))*(1000)</f>
        <v>9368000</v>
      </c>
      <c r="D406" s="1">
        <v>0</v>
      </c>
    </row>
    <row r="407" spans="1:4" x14ac:dyDescent="0.25">
      <c r="A407" s="2">
        <v>37895</v>
      </c>
      <c r="B407" s="1" t="s">
        <v>4</v>
      </c>
      <c r="C407" s="1">
        <f>(9372*(1))*(1000)</f>
        <v>9372000</v>
      </c>
      <c r="D407" s="1">
        <v>0</v>
      </c>
    </row>
    <row r="408" spans="1:4" x14ac:dyDescent="0.25">
      <c r="A408" s="2">
        <v>37926</v>
      </c>
      <c r="B408" s="1" t="s">
        <v>4</v>
      </c>
      <c r="C408" s="1">
        <f>(9381.6*(1))*(1000)</f>
        <v>9381600</v>
      </c>
      <c r="D408" s="1">
        <v>0</v>
      </c>
    </row>
    <row r="409" spans="1:4" x14ac:dyDescent="0.25">
      <c r="A409" s="2">
        <v>37956</v>
      </c>
      <c r="B409" s="1" t="s">
        <v>4</v>
      </c>
      <c r="C409" s="1">
        <f>(9390.5*(1))*(1000)</f>
        <v>9390500</v>
      </c>
      <c r="D409" s="1">
        <v>0</v>
      </c>
    </row>
    <row r="410" spans="1:4" x14ac:dyDescent="0.25">
      <c r="A410" s="2">
        <v>37987</v>
      </c>
      <c r="B410" s="1" t="s">
        <v>4</v>
      </c>
      <c r="C410" s="1">
        <f>(9416.5*(1))*(1000)</f>
        <v>9416500</v>
      </c>
      <c r="D410" s="1">
        <v>0</v>
      </c>
    </row>
    <row r="411" spans="1:4" x14ac:dyDescent="0.25">
      <c r="A411" s="2">
        <v>38018</v>
      </c>
      <c r="B411" s="1" t="s">
        <v>4</v>
      </c>
      <c r="C411" s="1">
        <f>(9426.3*(1))*(1000)</f>
        <v>9426300</v>
      </c>
      <c r="D411" s="1">
        <v>0</v>
      </c>
    </row>
    <row r="412" spans="1:4" x14ac:dyDescent="0.25">
      <c r="A412" s="2">
        <v>38047</v>
      </c>
      <c r="B412" s="1" t="s">
        <v>4</v>
      </c>
      <c r="C412" s="1">
        <f>(9437.3*(1))*(1000)</f>
        <v>9437300</v>
      </c>
      <c r="D412" s="1">
        <v>0</v>
      </c>
    </row>
    <row r="413" spans="1:4" x14ac:dyDescent="0.25">
      <c r="A413" s="2">
        <v>38078</v>
      </c>
      <c r="B413" s="1" t="s">
        <v>4</v>
      </c>
      <c r="C413" s="1">
        <f>(9457*(1))*(1000)</f>
        <v>9457000</v>
      </c>
      <c r="D413" s="1">
        <v>0</v>
      </c>
    </row>
    <row r="414" spans="1:4" x14ac:dyDescent="0.25">
      <c r="A414" s="2">
        <v>38108</v>
      </c>
      <c r="B414" s="1" t="s">
        <v>4</v>
      </c>
      <c r="C414" s="1">
        <f>(9466.4*(1))*(1000)</f>
        <v>9466400</v>
      </c>
      <c r="D414" s="1">
        <v>0</v>
      </c>
    </row>
    <row r="415" spans="1:4" x14ac:dyDescent="0.25">
      <c r="A415" s="2">
        <v>38139</v>
      </c>
      <c r="B415" s="1" t="s">
        <v>4</v>
      </c>
      <c r="C415" s="1">
        <f>(9477.5*(1))*(1000)</f>
        <v>9477500</v>
      </c>
      <c r="D415" s="1">
        <v>0</v>
      </c>
    </row>
    <row r="416" spans="1:4" x14ac:dyDescent="0.25">
      <c r="A416" s="2">
        <v>38169</v>
      </c>
      <c r="B416" s="1" t="s">
        <v>4</v>
      </c>
      <c r="C416" s="1">
        <f>(9498.1*(1))*(1000)</f>
        <v>9498100</v>
      </c>
      <c r="D416" s="1">
        <v>0</v>
      </c>
    </row>
    <row r="417" spans="1:4" x14ac:dyDescent="0.25">
      <c r="A417" s="2">
        <v>38200</v>
      </c>
      <c r="B417" s="1" t="s">
        <v>4</v>
      </c>
      <c r="C417" s="1">
        <f>(9517.8*(1))*(1000)</f>
        <v>9517800</v>
      </c>
      <c r="D417" s="1">
        <v>0</v>
      </c>
    </row>
    <row r="418" spans="1:4" x14ac:dyDescent="0.25">
      <c r="A418" s="2">
        <v>38231</v>
      </c>
      <c r="B418" s="1" t="s">
        <v>4</v>
      </c>
      <c r="C418" s="1">
        <f>(9513.7*(1))*(1000)</f>
        <v>9513700</v>
      </c>
      <c r="D418" s="1">
        <v>0</v>
      </c>
    </row>
    <row r="419" spans="1:4" x14ac:dyDescent="0.25">
      <c r="A419" s="2">
        <v>38261</v>
      </c>
      <c r="B419" s="1" t="s">
        <v>4</v>
      </c>
      <c r="C419" s="1">
        <f>(9561.1*(1))*(1000)</f>
        <v>9561100</v>
      </c>
      <c r="D419" s="1">
        <v>0</v>
      </c>
    </row>
    <row r="420" spans="1:4" x14ac:dyDescent="0.25">
      <c r="A420" s="2">
        <v>38292</v>
      </c>
      <c r="B420" s="1" t="s">
        <v>4</v>
      </c>
      <c r="C420" s="1">
        <f>(9566.9*(1))*(1000)</f>
        <v>9566900</v>
      </c>
      <c r="D420" s="1">
        <v>0</v>
      </c>
    </row>
    <row r="421" spans="1:4" x14ac:dyDescent="0.25">
      <c r="A421" s="2">
        <v>38322</v>
      </c>
      <c r="B421" s="1" t="s">
        <v>4</v>
      </c>
      <c r="C421" s="1">
        <f>(9581.5*(1))*(1000)</f>
        <v>9581500</v>
      </c>
      <c r="D421" s="1">
        <v>0</v>
      </c>
    </row>
    <row r="422" spans="1:4" x14ac:dyDescent="0.25">
      <c r="A422" s="2">
        <v>38353</v>
      </c>
      <c r="B422" s="1" t="s">
        <v>4</v>
      </c>
      <c r="C422" s="1">
        <f>(9602.7*(1))*(1000)</f>
        <v>9602700</v>
      </c>
      <c r="D422" s="1">
        <v>0</v>
      </c>
    </row>
    <row r="423" spans="1:4" x14ac:dyDescent="0.25">
      <c r="A423" s="2">
        <v>38384</v>
      </c>
      <c r="B423" s="1" t="s">
        <v>4</v>
      </c>
      <c r="C423" s="1">
        <f>(9618.8*(1))*(1000)</f>
        <v>9618800</v>
      </c>
      <c r="D423" s="1">
        <v>0</v>
      </c>
    </row>
    <row r="424" spans="1:4" x14ac:dyDescent="0.25">
      <c r="A424" s="2">
        <v>38412</v>
      </c>
      <c r="B424" s="1" t="s">
        <v>4</v>
      </c>
      <c r="C424" s="1">
        <f>(9637.4*(1))*(1000)</f>
        <v>9637400</v>
      </c>
      <c r="D424" s="1">
        <v>0</v>
      </c>
    </row>
    <row r="425" spans="1:4" x14ac:dyDescent="0.25">
      <c r="A425" s="2">
        <v>38443</v>
      </c>
      <c r="B425" s="1" t="s">
        <v>4</v>
      </c>
      <c r="C425" s="1">
        <f>(9676.9*(1))*(1000)</f>
        <v>9676900</v>
      </c>
      <c r="D425" s="1">
        <v>0</v>
      </c>
    </row>
    <row r="426" spans="1:4" x14ac:dyDescent="0.25">
      <c r="A426" s="2">
        <v>38473</v>
      </c>
      <c r="B426" s="1" t="s">
        <v>4</v>
      </c>
      <c r="C426" s="1">
        <f>(9691.7*(1))*(1000)</f>
        <v>9691700</v>
      </c>
      <c r="D426" s="1">
        <v>0</v>
      </c>
    </row>
    <row r="427" spans="1:4" x14ac:dyDescent="0.25">
      <c r="A427" s="2">
        <v>38504</v>
      </c>
      <c r="B427" s="1" t="s">
        <v>4</v>
      </c>
      <c r="C427" s="1">
        <f>(9695.9*(1))*(1000)</f>
        <v>9695900</v>
      </c>
      <c r="D427" s="1">
        <v>0</v>
      </c>
    </row>
    <row r="428" spans="1:4" x14ac:dyDescent="0.25">
      <c r="A428" s="2">
        <v>38534</v>
      </c>
      <c r="B428" s="1" t="s">
        <v>4</v>
      </c>
      <c r="C428" s="1">
        <f>(9761.2*(1))*(1000)</f>
        <v>9761200</v>
      </c>
      <c r="D428" s="1">
        <v>0</v>
      </c>
    </row>
    <row r="429" spans="1:4" x14ac:dyDescent="0.25">
      <c r="A429" s="2">
        <v>38565</v>
      </c>
      <c r="B429" s="1" t="s">
        <v>4</v>
      </c>
      <c r="C429" s="1">
        <f>(9776.4*(1))*(1000)</f>
        <v>9776400</v>
      </c>
      <c r="D429" s="1">
        <v>0</v>
      </c>
    </row>
    <row r="430" spans="1:4" x14ac:dyDescent="0.25">
      <c r="A430" s="2">
        <v>38596</v>
      </c>
      <c r="B430" s="1" t="s">
        <v>4</v>
      </c>
      <c r="C430" s="1">
        <f>(9805.8*(1))*(1000)</f>
        <v>9805800</v>
      </c>
      <c r="D430" s="1">
        <v>0</v>
      </c>
    </row>
    <row r="431" spans="1:4" x14ac:dyDescent="0.25">
      <c r="A431" s="2">
        <v>38626</v>
      </c>
      <c r="B431" s="1" t="s">
        <v>4</v>
      </c>
      <c r="C431" s="1">
        <f>(9821.2*(1))*(1000)</f>
        <v>9821200</v>
      </c>
      <c r="D431" s="1">
        <v>0</v>
      </c>
    </row>
    <row r="432" spans="1:4" x14ac:dyDescent="0.25">
      <c r="A432" s="2">
        <v>38657</v>
      </c>
      <c r="B432" s="1" t="s">
        <v>4</v>
      </c>
      <c r="C432" s="1">
        <f>(9866*(1))*(1000)</f>
        <v>9866000</v>
      </c>
      <c r="D432" s="1">
        <v>0</v>
      </c>
    </row>
    <row r="433" spans="1:4" x14ac:dyDescent="0.25">
      <c r="A433" s="2">
        <v>38687</v>
      </c>
      <c r="B433" s="1" t="s">
        <v>4</v>
      </c>
      <c r="C433" s="1">
        <f>(9886.5*(1))*(1000)</f>
        <v>9886500</v>
      </c>
      <c r="D433" s="1">
        <v>0</v>
      </c>
    </row>
    <row r="434" spans="1:4" x14ac:dyDescent="0.25">
      <c r="A434" s="2">
        <v>38718</v>
      </c>
      <c r="B434" s="1" t="s">
        <v>4</v>
      </c>
      <c r="C434" s="1">
        <f>(9923*(1))*(1000)</f>
        <v>9923000</v>
      </c>
      <c r="D434" s="1">
        <v>0</v>
      </c>
    </row>
    <row r="435" spans="1:4" x14ac:dyDescent="0.25">
      <c r="A435" s="2">
        <v>38749</v>
      </c>
      <c r="B435" s="1" t="s">
        <v>4</v>
      </c>
      <c r="C435" s="1">
        <f>(9944.5*(1))*(1000)</f>
        <v>9944500</v>
      </c>
      <c r="D435" s="1">
        <v>0</v>
      </c>
    </row>
    <row r="436" spans="1:4" x14ac:dyDescent="0.25">
      <c r="A436" s="2">
        <v>38777</v>
      </c>
      <c r="B436" s="1" t="s">
        <v>4</v>
      </c>
      <c r="C436" s="1">
        <f>(9984.7*(1))*(1000)</f>
        <v>9984700</v>
      </c>
      <c r="D436" s="1">
        <v>0</v>
      </c>
    </row>
    <row r="437" spans="1:4" x14ac:dyDescent="0.25">
      <c r="A437" s="2">
        <v>38808</v>
      </c>
      <c r="B437" s="1" t="s">
        <v>4</v>
      </c>
      <c r="C437" s="1">
        <f>(9996.6*(1))*(1000)</f>
        <v>9996600</v>
      </c>
      <c r="D437" s="1">
        <v>0</v>
      </c>
    </row>
    <row r="438" spans="1:4" x14ac:dyDescent="0.25">
      <c r="A438" s="2">
        <v>38838</v>
      </c>
      <c r="B438" s="1" t="s">
        <v>4</v>
      </c>
      <c r="C438" s="1">
        <f>(10023.1*(1))*(1000)</f>
        <v>10023100</v>
      </c>
      <c r="D438" s="1">
        <v>0</v>
      </c>
    </row>
    <row r="439" spans="1:4" x14ac:dyDescent="0.25">
      <c r="A439" s="2">
        <v>38869</v>
      </c>
      <c r="B439" s="1" t="s">
        <v>4</v>
      </c>
      <c r="C439" s="1">
        <f>(10048.1*(1))*(1000)</f>
        <v>10048100</v>
      </c>
      <c r="D439" s="1">
        <v>0</v>
      </c>
    </row>
    <row r="440" spans="1:4" x14ac:dyDescent="0.25">
      <c r="A440" s="2">
        <v>38899</v>
      </c>
      <c r="B440" s="1" t="s">
        <v>4</v>
      </c>
      <c r="C440" s="1">
        <f>(10057.1*(1))*(1000)</f>
        <v>10057100</v>
      </c>
      <c r="D440" s="1">
        <v>0</v>
      </c>
    </row>
    <row r="441" spans="1:4" x14ac:dyDescent="0.25">
      <c r="A441" s="2">
        <v>38930</v>
      </c>
      <c r="B441" s="1" t="s">
        <v>4</v>
      </c>
      <c r="C441" s="1">
        <f>(10100.2*(1))*(1000)</f>
        <v>10100200</v>
      </c>
      <c r="D441" s="1">
        <v>0</v>
      </c>
    </row>
    <row r="442" spans="1:4" x14ac:dyDescent="0.25">
      <c r="A442" s="2">
        <v>38961</v>
      </c>
      <c r="B442" s="1" t="s">
        <v>4</v>
      </c>
      <c r="C442" s="1">
        <f>(10135.9*(1))*(1000)</f>
        <v>10135900</v>
      </c>
      <c r="D442" s="1">
        <v>0</v>
      </c>
    </row>
    <row r="443" spans="1:4" x14ac:dyDescent="0.25">
      <c r="A443" s="2">
        <v>38991</v>
      </c>
      <c r="B443" s="1" t="s">
        <v>4</v>
      </c>
      <c r="C443" s="1">
        <f>(10150*(1))*(1000)</f>
        <v>10150000</v>
      </c>
      <c r="D443" s="1">
        <v>0</v>
      </c>
    </row>
    <row r="444" spans="1:4" x14ac:dyDescent="0.25">
      <c r="A444" s="2">
        <v>39022</v>
      </c>
      <c r="B444" s="1" t="s">
        <v>4</v>
      </c>
      <c r="C444" s="1">
        <f>(10176.6*(1))*(1000)</f>
        <v>10176600</v>
      </c>
      <c r="D444" s="1">
        <v>0</v>
      </c>
    </row>
    <row r="445" spans="1:4" x14ac:dyDescent="0.25">
      <c r="A445" s="2">
        <v>39052</v>
      </c>
      <c r="B445" s="1" t="s">
        <v>4</v>
      </c>
      <c r="C445" s="1">
        <f>(10211*(1))*(1000)</f>
        <v>10211000</v>
      </c>
      <c r="D445" s="1">
        <v>0</v>
      </c>
    </row>
    <row r="446" spans="1:4" x14ac:dyDescent="0.25">
      <c r="A446" s="2">
        <v>39083</v>
      </c>
      <c r="B446" s="1" t="s">
        <v>4</v>
      </c>
      <c r="C446" s="1">
        <f>(10231.1*(1))*(1000)</f>
        <v>10231100</v>
      </c>
      <c r="D446" s="1">
        <v>0</v>
      </c>
    </row>
    <row r="447" spans="1:4" x14ac:dyDescent="0.25">
      <c r="A447" s="2">
        <v>39114</v>
      </c>
      <c r="B447" s="1" t="s">
        <v>4</v>
      </c>
      <c r="C447" s="1">
        <f>(10269.1*(1))*(1000)</f>
        <v>10269100</v>
      </c>
      <c r="D447" s="1">
        <v>0</v>
      </c>
    </row>
    <row r="448" spans="1:4" x14ac:dyDescent="0.25">
      <c r="A448" s="2">
        <v>39142</v>
      </c>
      <c r="B448" s="1" t="s">
        <v>4</v>
      </c>
      <c r="C448" s="1">
        <f>(10312*(1))*(1000)</f>
        <v>10312000</v>
      </c>
      <c r="D448" s="1">
        <v>0</v>
      </c>
    </row>
    <row r="449" spans="1:4" x14ac:dyDescent="0.25">
      <c r="A449" s="2">
        <v>39173</v>
      </c>
      <c r="B449" s="1" t="s">
        <v>4</v>
      </c>
      <c r="C449" s="1">
        <f>(10334.4*(1))*(1000)</f>
        <v>10334400</v>
      </c>
      <c r="D449" s="1">
        <v>0</v>
      </c>
    </row>
    <row r="450" spans="1:4" x14ac:dyDescent="0.25">
      <c r="A450" s="2">
        <v>39203</v>
      </c>
      <c r="B450" s="1" t="s">
        <v>4</v>
      </c>
      <c r="C450" s="1">
        <f>(10358.5*(1))*(1000)</f>
        <v>10358500</v>
      </c>
      <c r="D450" s="1">
        <v>0</v>
      </c>
    </row>
    <row r="451" spans="1:4" x14ac:dyDescent="0.25">
      <c r="A451" s="2">
        <v>39234</v>
      </c>
      <c r="B451" s="1" t="s">
        <v>4</v>
      </c>
      <c r="C451" s="1">
        <f>(10393.2*(1))*(1000)</f>
        <v>10393200</v>
      </c>
      <c r="D451" s="1">
        <v>0</v>
      </c>
    </row>
    <row r="452" spans="1:4" x14ac:dyDescent="0.25">
      <c r="A452" s="2">
        <v>39264</v>
      </c>
      <c r="B452" s="1" t="s">
        <v>4</v>
      </c>
      <c r="C452" s="1">
        <f>(10413.8*(1))*(1000)</f>
        <v>10413800</v>
      </c>
      <c r="D452" s="1">
        <v>0</v>
      </c>
    </row>
    <row r="453" spans="1:4" x14ac:dyDescent="0.25">
      <c r="A453" s="2">
        <v>39295</v>
      </c>
      <c r="B453" s="1" t="s">
        <v>4</v>
      </c>
      <c r="C453" s="1">
        <f>(10429.6*(1))*(1000)</f>
        <v>10429600</v>
      </c>
      <c r="D453" s="1">
        <v>0</v>
      </c>
    </row>
    <row r="454" spans="1:4" x14ac:dyDescent="0.25">
      <c r="A454" s="2">
        <v>39326</v>
      </c>
      <c r="B454" s="1" t="s">
        <v>4</v>
      </c>
      <c r="C454" s="1">
        <f>(10448.8*(1))*(1000)</f>
        <v>10448800</v>
      </c>
      <c r="D454" s="1">
        <v>0</v>
      </c>
    </row>
    <row r="455" spans="1:4" x14ac:dyDescent="0.25">
      <c r="A455" s="2">
        <v>39356</v>
      </c>
      <c r="B455" s="1" t="s">
        <v>4</v>
      </c>
      <c r="C455" s="1">
        <f>(10482.4*(1))*(1000)</f>
        <v>10482400</v>
      </c>
      <c r="D455" s="1">
        <v>0</v>
      </c>
    </row>
    <row r="456" spans="1:4" x14ac:dyDescent="0.25">
      <c r="A456" s="2">
        <v>39387</v>
      </c>
      <c r="B456" s="1" t="s">
        <v>4</v>
      </c>
      <c r="C456" s="1">
        <f>(10507.2*(1))*(1000)</f>
        <v>10507200</v>
      </c>
      <c r="D456" s="1">
        <v>0</v>
      </c>
    </row>
    <row r="457" spans="1:4" x14ac:dyDescent="0.25">
      <c r="A457" s="2">
        <v>39417</v>
      </c>
      <c r="B457" s="1" t="s">
        <v>4</v>
      </c>
      <c r="C457" s="1">
        <f>(10529.2*(1))*(1000)</f>
        <v>10529200</v>
      </c>
      <c r="D457" s="1">
        <v>0</v>
      </c>
    </row>
    <row r="458" spans="1:4" x14ac:dyDescent="0.25">
      <c r="A458" s="2">
        <v>39448</v>
      </c>
      <c r="B458" s="1" t="s">
        <v>4</v>
      </c>
      <c r="C458" s="1">
        <f>(10563.3*(1))*(1000)</f>
        <v>10563300</v>
      </c>
      <c r="D458" s="1">
        <v>0</v>
      </c>
    </row>
    <row r="459" spans="1:4" x14ac:dyDescent="0.25">
      <c r="A459" s="2">
        <v>39479</v>
      </c>
      <c r="B459" s="1" t="s">
        <v>4</v>
      </c>
      <c r="C459" s="1">
        <f>(10593.9*(1))*(1000)</f>
        <v>10593900</v>
      </c>
      <c r="D459" s="1">
        <v>0</v>
      </c>
    </row>
    <row r="460" spans="1:4" x14ac:dyDescent="0.25">
      <c r="A460" s="2">
        <v>39508</v>
      </c>
      <c r="B460" s="1" t="s">
        <v>4</v>
      </c>
      <c r="C460" s="1">
        <f>(10585.4*(1))*(1000)</f>
        <v>10585400</v>
      </c>
      <c r="D460" s="1">
        <v>0</v>
      </c>
    </row>
    <row r="461" spans="1:4" x14ac:dyDescent="0.25">
      <c r="A461" s="2">
        <v>39539</v>
      </c>
      <c r="B461" s="1" t="s">
        <v>4</v>
      </c>
      <c r="C461" s="1">
        <f>(10606.1*(1))*(1000)</f>
        <v>10606100</v>
      </c>
      <c r="D461" s="1">
        <v>0</v>
      </c>
    </row>
    <row r="462" spans="1:4" x14ac:dyDescent="0.25">
      <c r="A462" s="2">
        <v>39569</v>
      </c>
      <c r="B462" s="1" t="s">
        <v>4</v>
      </c>
      <c r="C462" s="1">
        <f>(10613.8*(1))*(1000)</f>
        <v>10613800</v>
      </c>
      <c r="D462" s="1">
        <v>0</v>
      </c>
    </row>
    <row r="463" spans="1:4" x14ac:dyDescent="0.25">
      <c r="A463" s="2">
        <v>39600</v>
      </c>
      <c r="B463" s="1" t="s">
        <v>4</v>
      </c>
      <c r="C463" s="1">
        <f>(10620.7*(1))*(1000)</f>
        <v>10620700</v>
      </c>
      <c r="D463" s="1">
        <v>0</v>
      </c>
    </row>
    <row r="464" spans="1:4" x14ac:dyDescent="0.25">
      <c r="A464" s="2">
        <v>39630</v>
      </c>
      <c r="B464" s="1" t="s">
        <v>4</v>
      </c>
      <c r="C464" s="1">
        <f>(10634.1*(1))*(1000)</f>
        <v>10634100</v>
      </c>
      <c r="D464" s="1">
        <v>0</v>
      </c>
    </row>
    <row r="465" spans="1:4" x14ac:dyDescent="0.25">
      <c r="A465" s="2">
        <v>39661</v>
      </c>
      <c r="B465" s="1" t="s">
        <v>4</v>
      </c>
      <c r="C465" s="1">
        <f>(10638.1*(1))*(1000)</f>
        <v>10638100</v>
      </c>
      <c r="D465" s="1">
        <v>0</v>
      </c>
    </row>
    <row r="466" spans="1:4" x14ac:dyDescent="0.25">
      <c r="A466" s="2">
        <v>39692</v>
      </c>
      <c r="B466" s="1" t="s">
        <v>4</v>
      </c>
      <c r="C466" s="1">
        <f>(10609.7*(1))*(1000)</f>
        <v>10609700</v>
      </c>
      <c r="D466" s="1">
        <v>0</v>
      </c>
    </row>
    <row r="467" spans="1:4" x14ac:dyDescent="0.25">
      <c r="A467" s="2">
        <v>39722</v>
      </c>
      <c r="B467" s="1" t="s">
        <v>4</v>
      </c>
      <c r="C467" s="1">
        <f>(10622.2*(1))*(1000)</f>
        <v>10622200</v>
      </c>
      <c r="D467" s="1">
        <v>0</v>
      </c>
    </row>
    <row r="468" spans="1:4" x14ac:dyDescent="0.25">
      <c r="A468" s="2">
        <v>39753</v>
      </c>
      <c r="B468" s="1" t="s">
        <v>4</v>
      </c>
      <c r="C468" s="1">
        <f>(10612.1*(1))*(1000)</f>
        <v>10612100</v>
      </c>
      <c r="D468" s="1">
        <v>0</v>
      </c>
    </row>
    <row r="469" spans="1:4" x14ac:dyDescent="0.25">
      <c r="A469" s="2">
        <v>39783</v>
      </c>
      <c r="B469" s="1" t="s">
        <v>4</v>
      </c>
      <c r="C469" s="1">
        <f>(10580.3*(1))*(1000)</f>
        <v>10580300</v>
      </c>
      <c r="D469" s="1">
        <v>0</v>
      </c>
    </row>
    <row r="470" spans="1:4" x14ac:dyDescent="0.25">
      <c r="A470" s="2">
        <v>39814</v>
      </c>
      <c r="B470" s="1" t="s">
        <v>4</v>
      </c>
      <c r="C470" s="1">
        <f>(10519.9*(1))*(1000)</f>
        <v>10519900</v>
      </c>
      <c r="D470" s="1">
        <v>0</v>
      </c>
    </row>
    <row r="471" spans="1:4" x14ac:dyDescent="0.25">
      <c r="A471" s="2">
        <v>39845</v>
      </c>
      <c r="B471" s="1" t="s">
        <v>4</v>
      </c>
      <c r="C471" s="1">
        <f>(10465.4*(1))*(1000)</f>
        <v>10465400</v>
      </c>
      <c r="D471" s="1">
        <v>0</v>
      </c>
    </row>
    <row r="472" spans="1:4" x14ac:dyDescent="0.25">
      <c r="A472" s="2">
        <v>39873</v>
      </c>
      <c r="B472" s="1" t="s">
        <v>4</v>
      </c>
      <c r="C472" s="1">
        <f>(10400.3*(1))*(1000)</f>
        <v>10400300</v>
      </c>
      <c r="D472" s="1">
        <v>0</v>
      </c>
    </row>
    <row r="473" spans="1:4" x14ac:dyDescent="0.25">
      <c r="A473" s="2">
        <v>39904</v>
      </c>
      <c r="B473" s="1" t="s">
        <v>4</v>
      </c>
      <c r="C473" s="1">
        <f>(10327.6*(1))*(1000)</f>
        <v>10327600</v>
      </c>
      <c r="D473" s="1">
        <v>0</v>
      </c>
    </row>
    <row r="474" spans="1:4" x14ac:dyDescent="0.25">
      <c r="A474" s="2">
        <v>39934</v>
      </c>
      <c r="B474" s="1" t="s">
        <v>4</v>
      </c>
      <c r="C474" s="1">
        <f>(10312.1*(1))*(1000)</f>
        <v>10312100</v>
      </c>
      <c r="D474" s="1">
        <v>0</v>
      </c>
    </row>
    <row r="475" spans="1:4" x14ac:dyDescent="0.25">
      <c r="A475" s="2">
        <v>39965</v>
      </c>
      <c r="B475" s="1" t="s">
        <v>4</v>
      </c>
      <c r="C475" s="1">
        <f>(10283.7*(1))*(1000)</f>
        <v>10283700</v>
      </c>
      <c r="D475" s="1">
        <v>0</v>
      </c>
    </row>
    <row r="476" spans="1:4" x14ac:dyDescent="0.25">
      <c r="A476" s="2">
        <v>39995</v>
      </c>
      <c r="B476" s="1" t="s">
        <v>4</v>
      </c>
      <c r="C476" s="1">
        <f>(10252*(1))*(1000)</f>
        <v>10252000</v>
      </c>
      <c r="D476" s="1">
        <v>0</v>
      </c>
    </row>
    <row r="477" spans="1:4" x14ac:dyDescent="0.25">
      <c r="A477" s="2">
        <v>40026</v>
      </c>
      <c r="B477" s="1" t="s">
        <v>4</v>
      </c>
      <c r="C477" s="1">
        <f>(10225.4*(1))*(1000)</f>
        <v>10225400</v>
      </c>
      <c r="D477" s="1">
        <v>0</v>
      </c>
    </row>
    <row r="478" spans="1:4" x14ac:dyDescent="0.25">
      <c r="A478" s="2">
        <v>40057</v>
      </c>
      <c r="B478" s="1" t="s">
        <v>4</v>
      </c>
      <c r="C478" s="1">
        <f>(10223.7*(1))*(1000)</f>
        <v>10223700</v>
      </c>
      <c r="D478" s="1">
        <v>0</v>
      </c>
    </row>
    <row r="479" spans="1:4" x14ac:dyDescent="0.25">
      <c r="A479" s="2">
        <v>40087</v>
      </c>
      <c r="B479" s="1" t="s">
        <v>4</v>
      </c>
      <c r="C479" s="1">
        <f>(10214.3*(1))*(1000)</f>
        <v>10214300</v>
      </c>
      <c r="D479" s="1">
        <v>0</v>
      </c>
    </row>
    <row r="480" spans="1:4" x14ac:dyDescent="0.25">
      <c r="A480" s="2">
        <v>40118</v>
      </c>
      <c r="B480" s="1" t="s">
        <v>4</v>
      </c>
      <c r="C480" s="1">
        <f>(10213.1*(1))*(1000)</f>
        <v>10213100</v>
      </c>
      <c r="D480" s="1">
        <v>0</v>
      </c>
    </row>
    <row r="481" spans="1:4" x14ac:dyDescent="0.25">
      <c r="A481" s="2">
        <v>40148</v>
      </c>
      <c r="B481" s="1" t="s">
        <v>4</v>
      </c>
      <c r="C481" s="1">
        <f>(10207.1*(1))*(1000)</f>
        <v>10207100</v>
      </c>
      <c r="D481" s="1">
        <v>0</v>
      </c>
    </row>
    <row r="482" spans="1:4" x14ac:dyDescent="0.25">
      <c r="A482" s="2">
        <v>40179</v>
      </c>
      <c r="B482" s="1" t="s">
        <v>4</v>
      </c>
      <c r="C482" s="1">
        <f>(10232.2*(1))*(1000)</f>
        <v>10232200</v>
      </c>
      <c r="D482" s="1">
        <v>0</v>
      </c>
    </row>
    <row r="483" spans="1:4" x14ac:dyDescent="0.25">
      <c r="A483" s="2">
        <v>40210</v>
      </c>
      <c r="B483" s="1" t="s">
        <v>4</v>
      </c>
      <c r="C483" s="1">
        <f>(10241.1*(1))*(1000)</f>
        <v>10241100</v>
      </c>
      <c r="D483" s="1">
        <v>0</v>
      </c>
    </row>
    <row r="484" spans="1:4" x14ac:dyDescent="0.25">
      <c r="A484" s="2">
        <v>40238</v>
      </c>
      <c r="B484" s="1" t="s">
        <v>4</v>
      </c>
      <c r="C484" s="1">
        <f>(10269.8*(1))*(1000)</f>
        <v>10269800</v>
      </c>
      <c r="D484" s="1">
        <v>0</v>
      </c>
    </row>
    <row r="485" spans="1:4" x14ac:dyDescent="0.25">
      <c r="A485" s="2">
        <v>40269</v>
      </c>
      <c r="B485" s="1" t="s">
        <v>4</v>
      </c>
      <c r="C485" s="1">
        <f>(10283.9*(1))*(1000)</f>
        <v>10283900</v>
      </c>
      <c r="D485" s="1">
        <v>0</v>
      </c>
    </row>
    <row r="486" spans="1:4" x14ac:dyDescent="0.25">
      <c r="A486" s="2">
        <v>40299</v>
      </c>
      <c r="B486" s="1" t="s">
        <v>4</v>
      </c>
      <c r="C486" s="1">
        <f>(10349.9*(1))*(1000)</f>
        <v>10349900</v>
      </c>
      <c r="D486" s="1">
        <v>0</v>
      </c>
    </row>
    <row r="487" spans="1:4" x14ac:dyDescent="0.25">
      <c r="A487" s="2">
        <v>40330</v>
      </c>
      <c r="B487" s="1" t="s">
        <v>4</v>
      </c>
      <c r="C487" s="1">
        <f>(10352.9*(1))*(1000)</f>
        <v>10352900</v>
      </c>
      <c r="D487" s="1">
        <v>0</v>
      </c>
    </row>
    <row r="488" spans="1:4" x14ac:dyDescent="0.25">
      <c r="A488" s="2">
        <v>40360</v>
      </c>
      <c r="B488" s="1" t="s">
        <v>4</v>
      </c>
      <c r="C488" s="1">
        <f>(10343.1*(1))*(1000)</f>
        <v>10343100</v>
      </c>
      <c r="D488" s="1">
        <v>0</v>
      </c>
    </row>
    <row r="489" spans="1:4" x14ac:dyDescent="0.25">
      <c r="A489" s="2">
        <v>40391</v>
      </c>
      <c r="B489" s="1" t="s">
        <v>4</v>
      </c>
      <c r="C489" s="1">
        <f>(10352.3*(1))*(1000)</f>
        <v>10352300</v>
      </c>
      <c r="D489" s="1">
        <v>0</v>
      </c>
    </row>
    <row r="490" spans="1:4" x14ac:dyDescent="0.25">
      <c r="A490" s="2">
        <v>40422</v>
      </c>
      <c r="B490" s="1" t="s">
        <v>4</v>
      </c>
      <c r="C490" s="1">
        <f>(10351.1*(1))*(1000)</f>
        <v>10351100</v>
      </c>
      <c r="D490" s="1">
        <v>0</v>
      </c>
    </row>
    <row r="491" spans="1:4" x14ac:dyDescent="0.25">
      <c r="A491" s="2">
        <v>40452</v>
      </c>
      <c r="B491" s="1" t="s">
        <v>4</v>
      </c>
      <c r="C491" s="1">
        <f>(10403.6*(1))*(1000)</f>
        <v>10403600</v>
      </c>
      <c r="D491" s="1">
        <v>0</v>
      </c>
    </row>
    <row r="492" spans="1:4" x14ac:dyDescent="0.25">
      <c r="A492" s="2">
        <v>40483</v>
      </c>
      <c r="B492" s="1" t="s">
        <v>4</v>
      </c>
      <c r="C492" s="1">
        <f>(10413.8*(1))*(1000)</f>
        <v>10413800</v>
      </c>
      <c r="D492" s="1">
        <v>0</v>
      </c>
    </row>
    <row r="493" spans="1:4" x14ac:dyDescent="0.25">
      <c r="A493" s="2">
        <v>40513</v>
      </c>
      <c r="B493" s="1" t="s">
        <v>4</v>
      </c>
      <c r="C493" s="1">
        <f>(10435.6*(1))*(1000)</f>
        <v>10435600</v>
      </c>
      <c r="D493" s="1">
        <v>0</v>
      </c>
    </row>
    <row r="494" spans="1:4" x14ac:dyDescent="0.25">
      <c r="A494" s="2">
        <v>40544</v>
      </c>
      <c r="B494" s="1" t="s">
        <v>4</v>
      </c>
      <c r="C494" s="1">
        <f>(10448.6*(1))*(1000)</f>
        <v>10448600</v>
      </c>
      <c r="D494" s="1">
        <v>0</v>
      </c>
    </row>
    <row r="495" spans="1:4" x14ac:dyDescent="0.25">
      <c r="A495" s="2">
        <v>40575</v>
      </c>
      <c r="B495" s="1" t="s">
        <v>4</v>
      </c>
      <c r="C495" s="1">
        <f>(10455.2*(1))*(1000)</f>
        <v>10455200</v>
      </c>
      <c r="D495" s="1">
        <v>0</v>
      </c>
    </row>
    <row r="496" spans="1:4" x14ac:dyDescent="0.25">
      <c r="A496" s="2">
        <v>40603</v>
      </c>
      <c r="B496" s="1" t="s">
        <v>4</v>
      </c>
      <c r="C496" s="1">
        <f>(10490*(1))*(1000)</f>
        <v>10490000</v>
      </c>
      <c r="D496" s="1">
        <v>0</v>
      </c>
    </row>
    <row r="497" spans="1:4" x14ac:dyDescent="0.25">
      <c r="A497" s="2">
        <v>40634</v>
      </c>
      <c r="B497" s="1" t="s">
        <v>4</v>
      </c>
      <c r="C497" s="1">
        <f>(10523.1*(1))*(1000)</f>
        <v>10523100</v>
      </c>
      <c r="D497" s="1">
        <v>0</v>
      </c>
    </row>
    <row r="498" spans="1:4" x14ac:dyDescent="0.25">
      <c r="A498" s="2">
        <v>40664</v>
      </c>
      <c r="B498" s="1" t="s">
        <v>4</v>
      </c>
      <c r="C498" s="1">
        <f>(10537*(1))*(1000)</f>
        <v>10537000</v>
      </c>
      <c r="D498" s="1">
        <v>0</v>
      </c>
    </row>
    <row r="499" spans="1:4" x14ac:dyDescent="0.25">
      <c r="A499" s="2">
        <v>40695</v>
      </c>
      <c r="B499" s="1" t="s">
        <v>4</v>
      </c>
      <c r="C499" s="1">
        <f>(10560.5*(1))*(1000)</f>
        <v>10560500</v>
      </c>
      <c r="D499" s="1">
        <v>0</v>
      </c>
    </row>
    <row r="500" spans="1:4" x14ac:dyDescent="0.25">
      <c r="A500" s="2">
        <v>40725</v>
      </c>
      <c r="B500" s="1" t="s">
        <v>4</v>
      </c>
      <c r="C500" s="1">
        <f>(10599*(1))*(1000)</f>
        <v>10599000</v>
      </c>
      <c r="D500" s="1">
        <v>0</v>
      </c>
    </row>
    <row r="501" spans="1:4" x14ac:dyDescent="0.25">
      <c r="A501" s="2">
        <v>40756</v>
      </c>
      <c r="B501" s="1" t="s">
        <v>4</v>
      </c>
      <c r="C501" s="1">
        <f>(10609.9*(1))*(1000)</f>
        <v>10609900</v>
      </c>
      <c r="D501" s="1">
        <v>0</v>
      </c>
    </row>
    <row r="502" spans="1:4" x14ac:dyDescent="0.25">
      <c r="A502" s="2">
        <v>40787</v>
      </c>
      <c r="B502" s="1" t="s">
        <v>4</v>
      </c>
      <c r="C502" s="1">
        <f>(10624.5*(1))*(1000)</f>
        <v>10624500</v>
      </c>
      <c r="D502" s="1">
        <v>0</v>
      </c>
    </row>
    <row r="503" spans="1:4" x14ac:dyDescent="0.25">
      <c r="A503" s="2">
        <v>40817</v>
      </c>
      <c r="B503" s="1" t="s">
        <v>4</v>
      </c>
      <c r="C503" s="1">
        <f>(10625.7*(1))*(1000)</f>
        <v>10625700</v>
      </c>
      <c r="D503" s="1">
        <v>0</v>
      </c>
    </row>
    <row r="504" spans="1:4" x14ac:dyDescent="0.25">
      <c r="A504" s="2">
        <v>40848</v>
      </c>
      <c r="B504" s="1" t="s">
        <v>4</v>
      </c>
      <c r="C504" s="1">
        <f>(10650.7*(1))*(1000)</f>
        <v>10650700</v>
      </c>
      <c r="D504" s="1">
        <v>0</v>
      </c>
    </row>
    <row r="505" spans="1:4" x14ac:dyDescent="0.25">
      <c r="A505" s="2">
        <v>40878</v>
      </c>
      <c r="B505" s="1" t="s">
        <v>4</v>
      </c>
      <c r="C505" s="1">
        <f>(10673.3*(1))*(1000)</f>
        <v>10673300</v>
      </c>
      <c r="D505" s="1">
        <v>0</v>
      </c>
    </row>
    <row r="506" spans="1:4" x14ac:dyDescent="0.25">
      <c r="A506" s="2">
        <v>40909</v>
      </c>
      <c r="B506" s="1" t="s">
        <v>4</v>
      </c>
      <c r="C506" s="1">
        <f>(10716*(1))*(1000)</f>
        <v>10716000</v>
      </c>
      <c r="D506" s="1">
        <v>0</v>
      </c>
    </row>
    <row r="507" spans="1:4" x14ac:dyDescent="0.25">
      <c r="A507" s="2">
        <v>40940</v>
      </c>
      <c r="B507" s="1" t="s">
        <v>4</v>
      </c>
      <c r="C507" s="1">
        <f>(10738.6*(1))*(1000)</f>
        <v>10738600</v>
      </c>
      <c r="D507" s="1">
        <v>0</v>
      </c>
    </row>
    <row r="508" spans="1:4" x14ac:dyDescent="0.25">
      <c r="A508" s="2">
        <v>40969</v>
      </c>
      <c r="B508" s="1" t="s">
        <v>4</v>
      </c>
      <c r="C508" s="1">
        <f>(10773.5*(1))*(1000)</f>
        <v>10773500</v>
      </c>
      <c r="D508" s="1">
        <v>0</v>
      </c>
    </row>
    <row r="509" spans="1:4" x14ac:dyDescent="0.25">
      <c r="A509" s="2">
        <v>41000</v>
      </c>
      <c r="B509" s="1" t="s">
        <v>4</v>
      </c>
      <c r="C509" s="1">
        <f>(10807.2*(1))*(1000)</f>
        <v>10807200</v>
      </c>
      <c r="D509" s="1">
        <v>0</v>
      </c>
    </row>
    <row r="510" spans="1:4" x14ac:dyDescent="0.25">
      <c r="A510" s="2">
        <v>41030</v>
      </c>
      <c r="B510" s="1" t="s">
        <v>4</v>
      </c>
      <c r="C510" s="1">
        <f>(10832*(1))*(1000)</f>
        <v>10832000</v>
      </c>
      <c r="D510" s="1">
        <v>0</v>
      </c>
    </row>
    <row r="511" spans="1:4" x14ac:dyDescent="0.25">
      <c r="A511" s="2">
        <v>41061</v>
      </c>
      <c r="B511" s="1" t="s">
        <v>4</v>
      </c>
      <c r="C511" s="1">
        <f>(10861.5*(1))*(1000)</f>
        <v>10861500</v>
      </c>
      <c r="D511" s="1">
        <v>0</v>
      </c>
    </row>
    <row r="512" spans="1:4" x14ac:dyDescent="0.25">
      <c r="A512" s="2">
        <v>41091</v>
      </c>
      <c r="B512" s="1" t="s">
        <v>4</v>
      </c>
      <c r="C512" s="1">
        <f>(10883.4*(1))*(1000)</f>
        <v>10883400</v>
      </c>
      <c r="D512" s="1">
        <v>0</v>
      </c>
    </row>
    <row r="513" spans="1:4" x14ac:dyDescent="0.25">
      <c r="A513" s="2">
        <v>41122</v>
      </c>
      <c r="B513" s="1" t="s">
        <v>4</v>
      </c>
      <c r="C513" s="1">
        <f>(10918.2*(1))*(1000)</f>
        <v>10918200</v>
      </c>
      <c r="D513" s="1">
        <v>0</v>
      </c>
    </row>
    <row r="514" spans="1:4" x14ac:dyDescent="0.25">
      <c r="A514" s="2">
        <v>41153</v>
      </c>
      <c r="B514" s="1" t="s">
        <v>4</v>
      </c>
      <c r="C514" s="1">
        <f>(10947.2*(1))*(1000)</f>
        <v>10947200</v>
      </c>
      <c r="D514" s="1">
        <v>0</v>
      </c>
    </row>
    <row r="515" spans="1:4" x14ac:dyDescent="0.25">
      <c r="A515" s="2">
        <v>41183</v>
      </c>
      <c r="B515" s="1" t="s">
        <v>4</v>
      </c>
      <c r="C515" s="1">
        <f>(10974.4*(1))*(1000)</f>
        <v>10974400</v>
      </c>
      <c r="D515" s="1">
        <v>0</v>
      </c>
    </row>
    <row r="516" spans="1:4" x14ac:dyDescent="0.25">
      <c r="A516" s="2">
        <v>41214</v>
      </c>
      <c r="B516" s="1" t="s">
        <v>4</v>
      </c>
      <c r="C516" s="1">
        <f>(11010.3*(1))*(1000)</f>
        <v>11010300</v>
      </c>
      <c r="D516" s="1">
        <v>0</v>
      </c>
    </row>
    <row r="517" spans="1:4" x14ac:dyDescent="0.25">
      <c r="A517" s="2">
        <v>41244</v>
      </c>
      <c r="B517" s="1" t="s">
        <v>4</v>
      </c>
      <c r="C517" s="1">
        <f>(11026.6*(1))*(1000)</f>
        <v>11026600</v>
      </c>
      <c r="D517" s="1">
        <v>0</v>
      </c>
    </row>
    <row r="518" spans="1:4" x14ac:dyDescent="0.25">
      <c r="A518" s="2">
        <v>41275</v>
      </c>
      <c r="B518" s="1" t="s">
        <v>4</v>
      </c>
      <c r="C518" s="1">
        <f>(11036.9*(1))*(1000)</f>
        <v>11036900</v>
      </c>
      <c r="D518" s="1">
        <v>0</v>
      </c>
    </row>
    <row r="519" spans="1:4" x14ac:dyDescent="0.25">
      <c r="A519" s="2">
        <v>41306</v>
      </c>
      <c r="B519" s="1" t="s">
        <v>4</v>
      </c>
      <c r="C519" s="1">
        <f>(11091.8*(1))*(1000)</f>
        <v>11091800</v>
      </c>
      <c r="D519" s="1">
        <v>0</v>
      </c>
    </row>
    <row r="520" spans="1:4" x14ac:dyDescent="0.25">
      <c r="A520" s="2">
        <v>41334</v>
      </c>
      <c r="B520" s="1" t="s">
        <v>4</v>
      </c>
      <c r="C520" s="1">
        <f>(11106.6*(1))*(1000)</f>
        <v>11106600</v>
      </c>
      <c r="D520" s="1">
        <v>0</v>
      </c>
    </row>
    <row r="521" spans="1:4" x14ac:dyDescent="0.25">
      <c r="A521" s="2">
        <v>41365</v>
      </c>
      <c r="B521" s="1" t="s">
        <v>4</v>
      </c>
      <c r="C521" s="1">
        <f>(11129.1*(1))*(1000)</f>
        <v>11129100</v>
      </c>
      <c r="D521" s="1">
        <v>0</v>
      </c>
    </row>
    <row r="522" spans="1:4" x14ac:dyDescent="0.25">
      <c r="A522" s="2">
        <v>41395</v>
      </c>
      <c r="B522" s="1" t="s">
        <v>4</v>
      </c>
      <c r="C522" s="1">
        <f>(11148.7*(1))*(1000)</f>
        <v>11148700</v>
      </c>
      <c r="D522" s="1">
        <v>0</v>
      </c>
    </row>
    <row r="523" spans="1:4" x14ac:dyDescent="0.25">
      <c r="A523" s="2">
        <v>41426</v>
      </c>
      <c r="B523" s="1" t="s">
        <v>4</v>
      </c>
      <c r="C523" s="1">
        <f>(11179*(1))*(1000)</f>
        <v>11179000</v>
      </c>
      <c r="D523" s="1">
        <v>0</v>
      </c>
    </row>
    <row r="524" spans="1:4" x14ac:dyDescent="0.25">
      <c r="A524" s="2">
        <v>41456</v>
      </c>
      <c r="B524" s="1" t="s">
        <v>4</v>
      </c>
      <c r="C524" s="1">
        <f>(11211.6*(1))*(1000)</f>
        <v>11211600</v>
      </c>
      <c r="D524" s="1">
        <v>0</v>
      </c>
    </row>
    <row r="525" spans="1:4" x14ac:dyDescent="0.25">
      <c r="A525" s="2">
        <v>41487</v>
      </c>
      <c r="B525" s="1" t="s">
        <v>4</v>
      </c>
      <c r="C525" s="1">
        <f>(11228.2*(1))*(1000)</f>
        <v>11228200</v>
      </c>
      <c r="D525" s="1">
        <v>0</v>
      </c>
    </row>
    <row r="526" spans="1:4" x14ac:dyDescent="0.25">
      <c r="A526" s="2">
        <v>41518</v>
      </c>
      <c r="B526" s="1" t="s">
        <v>4</v>
      </c>
      <c r="C526" s="1">
        <f>(11258.5*(1))*(1000)</f>
        <v>11258500</v>
      </c>
      <c r="D526" s="1">
        <v>0</v>
      </c>
    </row>
    <row r="527" spans="1:4" x14ac:dyDescent="0.25">
      <c r="A527" s="2">
        <v>41548</v>
      </c>
      <c r="B527" s="1" t="s">
        <v>4</v>
      </c>
      <c r="C527" s="1">
        <f>(11286.5*(1))*(1000)</f>
        <v>11286500</v>
      </c>
      <c r="D527" s="1">
        <v>0</v>
      </c>
    </row>
    <row r="528" spans="1:4" x14ac:dyDescent="0.25">
      <c r="A528" s="2">
        <v>41579</v>
      </c>
      <c r="B528" s="1" t="s">
        <v>4</v>
      </c>
      <c r="C528" s="1">
        <f>(11301*(1))*(1000)</f>
        <v>11301000</v>
      </c>
      <c r="D528" s="1">
        <v>0</v>
      </c>
    </row>
    <row r="529" spans="1:4" x14ac:dyDescent="0.25">
      <c r="A529" s="2">
        <v>41609</v>
      </c>
      <c r="B529" s="1" t="s">
        <v>4</v>
      </c>
      <c r="C529" s="1">
        <f>(11325.4*(1))*(1000)</f>
        <v>11325400</v>
      </c>
      <c r="D529" s="1">
        <v>0</v>
      </c>
    </row>
    <row r="530" spans="1:4" x14ac:dyDescent="0.25">
      <c r="A530" s="2">
        <v>41640</v>
      </c>
      <c r="B530" s="1" t="s">
        <v>4</v>
      </c>
      <c r="C530" s="1">
        <f>(11368.4*(1))*(1000)</f>
        <v>11368400</v>
      </c>
      <c r="D530" s="1">
        <v>0</v>
      </c>
    </row>
    <row r="531" spans="1:4" x14ac:dyDescent="0.25">
      <c r="A531" s="2">
        <v>41671</v>
      </c>
      <c r="B531" s="1" t="s">
        <v>4</v>
      </c>
      <c r="C531" s="1">
        <f>(11407.5*(1))*(1000)</f>
        <v>11407500</v>
      </c>
      <c r="D531" s="1">
        <v>0</v>
      </c>
    </row>
    <row r="532" spans="1:4" x14ac:dyDescent="0.25">
      <c r="A532" s="2">
        <v>41699</v>
      </c>
      <c r="B532" s="1" t="s">
        <v>4</v>
      </c>
      <c r="C532" s="1">
        <f>(11413*(1))*(1000)</f>
        <v>11413000</v>
      </c>
      <c r="D532" s="1">
        <v>0</v>
      </c>
    </row>
    <row r="533" spans="1:4" x14ac:dyDescent="0.25">
      <c r="A533" s="2">
        <v>41730</v>
      </c>
      <c r="B533" s="1" t="s">
        <v>4</v>
      </c>
      <c r="C533" s="1">
        <f>(11475.4*(1))*(1000)</f>
        <v>11475400</v>
      </c>
      <c r="D533" s="1">
        <v>0</v>
      </c>
    </row>
    <row r="534" spans="1:4" x14ac:dyDescent="0.25">
      <c r="A534" s="2">
        <v>41760</v>
      </c>
      <c r="B534" s="1" t="s">
        <v>4</v>
      </c>
      <c r="C534" s="1">
        <f>(11530.9*(1))*(1000)</f>
        <v>11530900</v>
      </c>
      <c r="D534" s="1">
        <v>0</v>
      </c>
    </row>
    <row r="535" spans="1:4" x14ac:dyDescent="0.25">
      <c r="A535" s="2">
        <v>41791</v>
      </c>
      <c r="B535" s="1" t="s">
        <v>4</v>
      </c>
      <c r="C535" s="1">
        <f>(11561.2*(1))*(1000)</f>
        <v>11561200</v>
      </c>
      <c r="D535" s="1">
        <v>0</v>
      </c>
    </row>
    <row r="536" spans="1:4" x14ac:dyDescent="0.25">
      <c r="A536" s="2">
        <v>41821</v>
      </c>
      <c r="B536" s="1" t="s">
        <v>4</v>
      </c>
      <c r="C536" s="1">
        <f>(11603.3*(1))*(1000)</f>
        <v>11603300</v>
      </c>
      <c r="D536" s="1">
        <v>0</v>
      </c>
    </row>
    <row r="537" spans="1:4" x14ac:dyDescent="0.25">
      <c r="A537" s="2">
        <v>41852</v>
      </c>
      <c r="B537" s="1" t="s">
        <v>4</v>
      </c>
      <c r="C537" s="1">
        <f>(11635.8*(1))*(1000)</f>
        <v>11635800</v>
      </c>
      <c r="D537" s="1">
        <v>0</v>
      </c>
    </row>
    <row r="538" spans="1:4" x14ac:dyDescent="0.25">
      <c r="A538" s="2">
        <v>41883</v>
      </c>
      <c r="B538" s="1" t="s">
        <v>4</v>
      </c>
      <c r="C538" s="1">
        <f>(11673.2*(1))*(1000)</f>
        <v>11673200</v>
      </c>
      <c r="D538" s="1">
        <v>0</v>
      </c>
    </row>
    <row r="539" spans="1:4" x14ac:dyDescent="0.25">
      <c r="A539" s="2">
        <v>41913</v>
      </c>
      <c r="B539" s="1" t="s">
        <v>4</v>
      </c>
      <c r="C539" s="1">
        <f>(11707.4*(1))*(1000)</f>
        <v>11707400</v>
      </c>
      <c r="D539" s="1">
        <v>0</v>
      </c>
    </row>
    <row r="540" spans="1:4" x14ac:dyDescent="0.25">
      <c r="A540" s="2">
        <v>41944</v>
      </c>
      <c r="B540" s="1" t="s">
        <v>4</v>
      </c>
      <c r="C540" s="1">
        <f>(11737.6*(1))*(1000)</f>
        <v>11737600</v>
      </c>
      <c r="D540" s="1">
        <v>0</v>
      </c>
    </row>
    <row r="541" spans="1:4" x14ac:dyDescent="0.25">
      <c r="A541" s="2">
        <v>41974</v>
      </c>
      <c r="B541" s="1" t="s">
        <v>4</v>
      </c>
      <c r="C541" s="1">
        <f>(11783.3*(1))*(1000)</f>
        <v>11783300</v>
      </c>
      <c r="D541" s="1">
        <v>0</v>
      </c>
    </row>
    <row r="542" spans="1:4" x14ac:dyDescent="0.25">
      <c r="A542" s="2">
        <v>36526</v>
      </c>
      <c r="B542" s="1" t="s">
        <v>5</v>
      </c>
      <c r="C542" s="1">
        <f>1483.7*(1000)</f>
        <v>1483700</v>
      </c>
      <c r="D542" s="1">
        <v>0</v>
      </c>
    </row>
    <row r="543" spans="1:4" x14ac:dyDescent="0.25">
      <c r="A543" s="2">
        <v>36557</v>
      </c>
      <c r="B543" s="1" t="s">
        <v>5</v>
      </c>
      <c r="C543" s="1">
        <f>1484*(1000)</f>
        <v>1484000</v>
      </c>
      <c r="D543" s="1">
        <v>0</v>
      </c>
    </row>
    <row r="544" spans="1:4" x14ac:dyDescent="0.25">
      <c r="A544" s="2">
        <v>36586</v>
      </c>
      <c r="B544" s="1" t="s">
        <v>5</v>
      </c>
      <c r="C544" s="1">
        <f>1490.1*(1000)</f>
        <v>1490100</v>
      </c>
      <c r="D544" s="1">
        <v>0</v>
      </c>
    </row>
    <row r="545" spans="1:4" x14ac:dyDescent="0.25">
      <c r="A545" s="2">
        <v>36617</v>
      </c>
      <c r="B545" s="1" t="s">
        <v>5</v>
      </c>
      <c r="C545" s="1">
        <f>1493.5*(1000)</f>
        <v>1493500</v>
      </c>
      <c r="D545" s="1">
        <v>0</v>
      </c>
    </row>
    <row r="546" spans="1:4" x14ac:dyDescent="0.25">
      <c r="A546" s="2">
        <v>36647</v>
      </c>
      <c r="B546" s="1" t="s">
        <v>5</v>
      </c>
      <c r="C546" s="1">
        <f>1500.5*(1000)</f>
        <v>1500500</v>
      </c>
      <c r="D546" s="1">
        <v>0</v>
      </c>
    </row>
    <row r="547" spans="1:4" x14ac:dyDescent="0.25">
      <c r="A547" s="2">
        <v>36678</v>
      </c>
      <c r="B547" s="1" t="s">
        <v>5</v>
      </c>
      <c r="C547" s="1">
        <f>1505.6*(1000)</f>
        <v>1505600</v>
      </c>
      <c r="D547" s="1">
        <v>0</v>
      </c>
    </row>
    <row r="548" spans="1:4" x14ac:dyDescent="0.25">
      <c r="A548" s="2">
        <v>36708</v>
      </c>
      <c r="B548" s="1" t="s">
        <v>5</v>
      </c>
      <c r="C548" s="1">
        <f>1505.8*(1000)</f>
        <v>1505800</v>
      </c>
      <c r="D548" s="1">
        <v>0</v>
      </c>
    </row>
    <row r="549" spans="1:4" x14ac:dyDescent="0.25">
      <c r="A549" s="2">
        <v>36739</v>
      </c>
      <c r="B549" s="1" t="s">
        <v>5</v>
      </c>
      <c r="C549" s="1">
        <f>1509*(1000)</f>
        <v>1509000</v>
      </c>
      <c r="D549" s="1">
        <v>0</v>
      </c>
    </row>
    <row r="550" spans="1:4" x14ac:dyDescent="0.25">
      <c r="A550" s="2">
        <v>36770</v>
      </c>
      <c r="B550" s="1" t="s">
        <v>5</v>
      </c>
      <c r="C550" s="1">
        <f>1511.7*(1000)</f>
        <v>1511700</v>
      </c>
      <c r="D550" s="1">
        <v>0</v>
      </c>
    </row>
    <row r="551" spans="1:4" x14ac:dyDescent="0.25">
      <c r="A551" s="2">
        <v>36800</v>
      </c>
      <c r="B551" s="1" t="s">
        <v>5</v>
      </c>
      <c r="C551" s="1">
        <f>1512.9*(1000)</f>
        <v>1512900</v>
      </c>
      <c r="D551" s="1">
        <v>0</v>
      </c>
    </row>
    <row r="552" spans="1:4" x14ac:dyDescent="0.25">
      <c r="A552" s="2">
        <v>36831</v>
      </c>
      <c r="B552" s="1" t="s">
        <v>5</v>
      </c>
      <c r="C552" s="1">
        <f>1517.3*(1000)</f>
        <v>1517300</v>
      </c>
      <c r="D552" s="1">
        <v>0</v>
      </c>
    </row>
    <row r="553" spans="1:4" x14ac:dyDescent="0.25">
      <c r="A553" s="2">
        <v>36861</v>
      </c>
      <c r="B553" s="1" t="s">
        <v>5</v>
      </c>
      <c r="C553" s="1">
        <f>1517.9*(1000)</f>
        <v>1517900</v>
      </c>
      <c r="D553" s="1">
        <v>0</v>
      </c>
    </row>
    <row r="554" spans="1:4" x14ac:dyDescent="0.25">
      <c r="A554" s="2">
        <v>36892</v>
      </c>
      <c r="B554" s="1" t="s">
        <v>5</v>
      </c>
      <c r="C554" s="1">
        <f>1516.8*(1000)</f>
        <v>1516800</v>
      </c>
      <c r="D554" s="1">
        <v>0</v>
      </c>
    </row>
    <row r="555" spans="1:4" x14ac:dyDescent="0.25">
      <c r="A555" s="2">
        <v>36923</v>
      </c>
      <c r="B555" s="1" t="s">
        <v>5</v>
      </c>
      <c r="C555" s="1">
        <f>1520.6*(1000)</f>
        <v>1520600</v>
      </c>
      <c r="D555" s="1">
        <v>0</v>
      </c>
    </row>
    <row r="556" spans="1:4" x14ac:dyDescent="0.25">
      <c r="A556" s="2">
        <v>36951</v>
      </c>
      <c r="B556" s="1" t="s">
        <v>5</v>
      </c>
      <c r="C556" s="1">
        <f>1523.7*(1000)</f>
        <v>1523700</v>
      </c>
      <c r="D556" s="1">
        <v>0</v>
      </c>
    </row>
    <row r="557" spans="1:4" x14ac:dyDescent="0.25">
      <c r="A557" s="2">
        <v>36982</v>
      </c>
      <c r="B557" s="1" t="s">
        <v>5</v>
      </c>
      <c r="C557" s="1">
        <f>1525.3*(1000)</f>
        <v>1525300</v>
      </c>
      <c r="D557" s="1">
        <v>0</v>
      </c>
    </row>
    <row r="558" spans="1:4" x14ac:dyDescent="0.25">
      <c r="A558" s="2">
        <v>37012</v>
      </c>
      <c r="B558" s="1" t="s">
        <v>5</v>
      </c>
      <c r="C558" s="1">
        <f>1525.3*(1000)</f>
        <v>1525300</v>
      </c>
      <c r="D558" s="1">
        <v>0</v>
      </c>
    </row>
    <row r="559" spans="1:4" x14ac:dyDescent="0.25">
      <c r="A559" s="2">
        <v>37043</v>
      </c>
      <c r="B559" s="1" t="s">
        <v>5</v>
      </c>
      <c r="C559" s="1">
        <f>1527.4*(1000)</f>
        <v>1527400</v>
      </c>
      <c r="D559" s="1">
        <v>0</v>
      </c>
    </row>
    <row r="560" spans="1:4" x14ac:dyDescent="0.25">
      <c r="A560" s="2">
        <v>37073</v>
      </c>
      <c r="B560" s="1" t="s">
        <v>5</v>
      </c>
      <c r="C560" s="1">
        <f>1520.1*(1000)</f>
        <v>1520100</v>
      </c>
      <c r="D560" s="1">
        <v>0</v>
      </c>
    </row>
    <row r="561" spans="1:4" x14ac:dyDescent="0.25">
      <c r="A561" s="2">
        <v>37104</v>
      </c>
      <c r="B561" s="1" t="s">
        <v>5</v>
      </c>
      <c r="C561" s="1">
        <f>1519.5*(1000)</f>
        <v>1519500</v>
      </c>
      <c r="D561" s="1">
        <v>0</v>
      </c>
    </row>
    <row r="562" spans="1:4" x14ac:dyDescent="0.25">
      <c r="A562" s="2">
        <v>37135</v>
      </c>
      <c r="B562" s="1" t="s">
        <v>5</v>
      </c>
      <c r="C562" s="1">
        <f>1518.6*(1000)</f>
        <v>1518600</v>
      </c>
      <c r="D562" s="1">
        <v>0</v>
      </c>
    </row>
    <row r="563" spans="1:4" x14ac:dyDescent="0.25">
      <c r="A563" s="2">
        <v>37165</v>
      </c>
      <c r="B563" s="1" t="s">
        <v>5</v>
      </c>
      <c r="C563" s="1">
        <f>1510.6*(1000)</f>
        <v>1510600</v>
      </c>
      <c r="D563" s="1">
        <v>0</v>
      </c>
    </row>
    <row r="564" spans="1:4" x14ac:dyDescent="0.25">
      <c r="A564" s="2">
        <v>37196</v>
      </c>
      <c r="B564" s="1" t="s">
        <v>5</v>
      </c>
      <c r="C564" s="1">
        <f>1514.6*(1000)</f>
        <v>1514600</v>
      </c>
      <c r="D564" s="1">
        <v>0</v>
      </c>
    </row>
    <row r="565" spans="1:4" x14ac:dyDescent="0.25">
      <c r="A565" s="2">
        <v>37226</v>
      </c>
      <c r="B565" s="1" t="s">
        <v>5</v>
      </c>
      <c r="C565" s="1">
        <f>1512.4*(1000)</f>
        <v>1512400</v>
      </c>
      <c r="D565" s="1">
        <v>0</v>
      </c>
    </row>
    <row r="566" spans="1:4" x14ac:dyDescent="0.25">
      <c r="A566" s="2">
        <v>37257</v>
      </c>
      <c r="B566" s="1" t="s">
        <v>5</v>
      </c>
      <c r="C566" s="1">
        <f>1504.9*(1000)</f>
        <v>1504900</v>
      </c>
      <c r="D566" s="1">
        <v>0</v>
      </c>
    </row>
    <row r="567" spans="1:4" x14ac:dyDescent="0.25">
      <c r="A567" s="2">
        <v>37288</v>
      </c>
      <c r="B567" s="1" t="s">
        <v>5</v>
      </c>
      <c r="C567" s="1">
        <f>1504.8*(1000)</f>
        <v>1504800</v>
      </c>
      <c r="D567" s="1">
        <v>0</v>
      </c>
    </row>
    <row r="568" spans="1:4" x14ac:dyDescent="0.25">
      <c r="A568" s="2">
        <v>37316</v>
      </c>
      <c r="B568" s="1" t="s">
        <v>5</v>
      </c>
      <c r="C568" s="1">
        <f>1504.4*(1000)</f>
        <v>1504400</v>
      </c>
      <c r="D568" s="1">
        <v>0</v>
      </c>
    </row>
    <row r="569" spans="1:4" x14ac:dyDescent="0.25">
      <c r="A569" s="2">
        <v>37347</v>
      </c>
      <c r="B569" s="1" t="s">
        <v>5</v>
      </c>
      <c r="C569" s="1">
        <f>1505.5*(1000)</f>
        <v>1505500</v>
      </c>
      <c r="D569" s="1">
        <v>0</v>
      </c>
    </row>
    <row r="570" spans="1:4" x14ac:dyDescent="0.25">
      <c r="A570" s="2">
        <v>37377</v>
      </c>
      <c r="B570" s="1" t="s">
        <v>5</v>
      </c>
      <c r="C570" s="1">
        <f>1506.5*(1000)</f>
        <v>1506500</v>
      </c>
      <c r="D570" s="1">
        <v>0</v>
      </c>
    </row>
    <row r="571" spans="1:4" x14ac:dyDescent="0.25">
      <c r="A571" s="2">
        <v>37408</v>
      </c>
      <c r="B571" s="1" t="s">
        <v>5</v>
      </c>
      <c r="C571" s="1">
        <f>1504.3*(1000)</f>
        <v>1504300</v>
      </c>
      <c r="D571" s="1">
        <v>0</v>
      </c>
    </row>
    <row r="572" spans="1:4" x14ac:dyDescent="0.25">
      <c r="A572" s="2">
        <v>37438</v>
      </c>
      <c r="B572" s="1" t="s">
        <v>5</v>
      </c>
      <c r="C572" s="1">
        <f>1500.4*(1000)</f>
        <v>1500400</v>
      </c>
      <c r="D572" s="1">
        <v>0</v>
      </c>
    </row>
    <row r="573" spans="1:4" x14ac:dyDescent="0.25">
      <c r="A573" s="2">
        <v>37469</v>
      </c>
      <c r="B573" s="1" t="s">
        <v>5</v>
      </c>
      <c r="C573" s="1">
        <f>1500.7*(1000)</f>
        <v>1500700</v>
      </c>
      <c r="D573" s="1">
        <v>0</v>
      </c>
    </row>
    <row r="574" spans="1:4" x14ac:dyDescent="0.25">
      <c r="A574" s="2">
        <v>37500</v>
      </c>
      <c r="B574" s="1" t="s">
        <v>5</v>
      </c>
      <c r="C574" s="1">
        <f>1495.1*(1000)</f>
        <v>1495100</v>
      </c>
      <c r="D574" s="1">
        <v>0</v>
      </c>
    </row>
    <row r="575" spans="1:4" x14ac:dyDescent="0.25">
      <c r="A575" s="2">
        <v>37530</v>
      </c>
      <c r="B575" s="1" t="s">
        <v>5</v>
      </c>
      <c r="C575" s="1">
        <f>1489.9*(1000)</f>
        <v>1489900</v>
      </c>
      <c r="D575" s="1">
        <v>0</v>
      </c>
    </row>
    <row r="576" spans="1:4" x14ac:dyDescent="0.25">
      <c r="A576" s="2">
        <v>37561</v>
      </c>
      <c r="B576" s="1" t="s">
        <v>5</v>
      </c>
      <c r="C576" s="1">
        <f>1489.1*(1000)</f>
        <v>1489100</v>
      </c>
      <c r="D576" s="1">
        <v>0</v>
      </c>
    </row>
    <row r="577" spans="1:4" x14ac:dyDescent="0.25">
      <c r="A577" s="2">
        <v>37591</v>
      </c>
      <c r="B577" s="1" t="s">
        <v>5</v>
      </c>
      <c r="C577" s="1">
        <f>1487.6*(1000)</f>
        <v>1487600</v>
      </c>
      <c r="D577" s="1">
        <v>0</v>
      </c>
    </row>
    <row r="578" spans="1:4" x14ac:dyDescent="0.25">
      <c r="A578" s="2">
        <v>37622</v>
      </c>
      <c r="B578" s="1" t="s">
        <v>5</v>
      </c>
      <c r="C578" s="1">
        <f>1483.8*(1000)</f>
        <v>1483800</v>
      </c>
      <c r="D578" s="1">
        <v>0</v>
      </c>
    </row>
    <row r="579" spans="1:4" x14ac:dyDescent="0.25">
      <c r="A579" s="2">
        <v>37653</v>
      </c>
      <c r="B579" s="1" t="s">
        <v>5</v>
      </c>
      <c r="C579" s="1">
        <f>1480.1*(1000)</f>
        <v>1480100</v>
      </c>
      <c r="D579" s="1">
        <v>0</v>
      </c>
    </row>
    <row r="580" spans="1:4" x14ac:dyDescent="0.25">
      <c r="A580" s="2">
        <v>37681</v>
      </c>
      <c r="B580" s="1" t="s">
        <v>5</v>
      </c>
      <c r="C580" s="1">
        <f>1471.7*(1000)</f>
        <v>1471700</v>
      </c>
      <c r="D580" s="1">
        <v>0</v>
      </c>
    </row>
    <row r="581" spans="1:4" x14ac:dyDescent="0.25">
      <c r="A581" s="2">
        <v>37712</v>
      </c>
      <c r="B581" s="1" t="s">
        <v>5</v>
      </c>
      <c r="C581" s="1">
        <f>1470.2*(1000)</f>
        <v>1470200</v>
      </c>
      <c r="D581" s="1">
        <v>0</v>
      </c>
    </row>
    <row r="582" spans="1:4" x14ac:dyDescent="0.25">
      <c r="A582" s="2">
        <v>37742</v>
      </c>
      <c r="B582" s="1" t="s">
        <v>5</v>
      </c>
      <c r="C582" s="1">
        <f>1468.3*(1000)</f>
        <v>1468300</v>
      </c>
      <c r="D582" s="1">
        <v>0</v>
      </c>
    </row>
    <row r="583" spans="1:4" x14ac:dyDescent="0.25">
      <c r="A583" s="2">
        <v>37773</v>
      </c>
      <c r="B583" s="1" t="s">
        <v>5</v>
      </c>
      <c r="C583" s="1">
        <f>1464.1*(1000)</f>
        <v>1464100</v>
      </c>
      <c r="D583" s="1">
        <v>0</v>
      </c>
    </row>
    <row r="584" spans="1:4" x14ac:dyDescent="0.25">
      <c r="A584" s="2">
        <v>37803</v>
      </c>
      <c r="B584" s="1" t="s">
        <v>5</v>
      </c>
      <c r="C584" s="1">
        <f>1468.9*(1000)</f>
        <v>1468900</v>
      </c>
      <c r="D584" s="1">
        <v>0</v>
      </c>
    </row>
    <row r="585" spans="1:4" x14ac:dyDescent="0.25">
      <c r="A585" s="2">
        <v>37834</v>
      </c>
      <c r="B585" s="1" t="s">
        <v>5</v>
      </c>
      <c r="C585" s="1">
        <f>1466.6*(1000)</f>
        <v>1466600</v>
      </c>
      <c r="D585" s="1">
        <v>0</v>
      </c>
    </row>
    <row r="586" spans="1:4" x14ac:dyDescent="0.25">
      <c r="A586" s="2">
        <v>37865</v>
      </c>
      <c r="B586" s="1" t="s">
        <v>5</v>
      </c>
      <c r="C586" s="1">
        <f>1467.6*(1000)</f>
        <v>1467600</v>
      </c>
      <c r="D586" s="1">
        <v>0</v>
      </c>
    </row>
    <row r="587" spans="1:4" x14ac:dyDescent="0.25">
      <c r="A587" s="2">
        <v>37895</v>
      </c>
      <c r="B587" s="1" t="s">
        <v>5</v>
      </c>
      <c r="C587" s="1">
        <f>1468.6*(1000)</f>
        <v>1468600</v>
      </c>
      <c r="D587" s="1">
        <v>0</v>
      </c>
    </row>
    <row r="588" spans="1:4" x14ac:dyDescent="0.25">
      <c r="A588" s="2">
        <v>37926</v>
      </c>
      <c r="B588" s="1" t="s">
        <v>5</v>
      </c>
      <c r="C588" s="1">
        <f>1470.6*(1000)</f>
        <v>1470600</v>
      </c>
      <c r="D588" s="1">
        <v>0</v>
      </c>
    </row>
    <row r="589" spans="1:4" x14ac:dyDescent="0.25">
      <c r="A589" s="2">
        <v>37956</v>
      </c>
      <c r="B589" s="1" t="s">
        <v>5</v>
      </c>
      <c r="C589" s="1">
        <f>1472*(1000)</f>
        <v>1472000</v>
      </c>
      <c r="D589" s="1">
        <v>0</v>
      </c>
    </row>
    <row r="590" spans="1:4" x14ac:dyDescent="0.25">
      <c r="A590" s="2">
        <v>37987</v>
      </c>
      <c r="B590" s="1" t="s">
        <v>5</v>
      </c>
      <c r="C590" s="1">
        <f>1475.3*(1000)</f>
        <v>1475300</v>
      </c>
      <c r="D590" s="1">
        <v>0</v>
      </c>
    </row>
    <row r="591" spans="1:4" x14ac:dyDescent="0.25">
      <c r="A591" s="2">
        <v>38018</v>
      </c>
      <c r="B591" s="1" t="s">
        <v>5</v>
      </c>
      <c r="C591" s="1">
        <f>1475.2*(1000)</f>
        <v>1475200</v>
      </c>
      <c r="D591" s="1">
        <v>0</v>
      </c>
    </row>
    <row r="592" spans="1:4" x14ac:dyDescent="0.25">
      <c r="A592" s="2">
        <v>38047</v>
      </c>
      <c r="B592" s="1" t="s">
        <v>5</v>
      </c>
      <c r="C592" s="1">
        <f>1478.6*(1000)</f>
        <v>1478600</v>
      </c>
      <c r="D592" s="1">
        <v>0</v>
      </c>
    </row>
    <row r="593" spans="1:4" x14ac:dyDescent="0.25">
      <c r="A593" s="2">
        <v>38078</v>
      </c>
      <c r="B593" s="1" t="s">
        <v>5</v>
      </c>
      <c r="C593" s="1">
        <f>1479.6*(1000)</f>
        <v>1479600</v>
      </c>
      <c r="D593" s="1">
        <v>0</v>
      </c>
    </row>
    <row r="594" spans="1:4" x14ac:dyDescent="0.25">
      <c r="A594" s="2">
        <v>38108</v>
      </c>
      <c r="B594" s="1" t="s">
        <v>5</v>
      </c>
      <c r="C594" s="1">
        <f>1481.2*(1000)</f>
        <v>1481200</v>
      </c>
      <c r="D594" s="1">
        <v>0</v>
      </c>
    </row>
    <row r="595" spans="1:4" x14ac:dyDescent="0.25">
      <c r="A595" s="2">
        <v>38139</v>
      </c>
      <c r="B595" s="1" t="s">
        <v>5</v>
      </c>
      <c r="C595" s="1">
        <f>1482.5*(1000)</f>
        <v>1482500</v>
      </c>
      <c r="D595" s="1">
        <v>0</v>
      </c>
    </row>
    <row r="596" spans="1:4" x14ac:dyDescent="0.25">
      <c r="A596" s="2">
        <v>38169</v>
      </c>
      <c r="B596" s="1" t="s">
        <v>5</v>
      </c>
      <c r="C596" s="1">
        <f>1487.9*(1000)</f>
        <v>1487900</v>
      </c>
      <c r="D596" s="1">
        <v>0</v>
      </c>
    </row>
    <row r="597" spans="1:4" x14ac:dyDescent="0.25">
      <c r="A597" s="2">
        <v>38200</v>
      </c>
      <c r="B597" s="1" t="s">
        <v>5</v>
      </c>
      <c r="C597" s="1">
        <f>1491.4*(1000)</f>
        <v>1491400</v>
      </c>
      <c r="D597" s="1">
        <v>0</v>
      </c>
    </row>
    <row r="598" spans="1:4" x14ac:dyDescent="0.25">
      <c r="A598" s="2">
        <v>38231</v>
      </c>
      <c r="B598" s="1" t="s">
        <v>5</v>
      </c>
      <c r="C598" s="1">
        <f>1492.1*(1000)</f>
        <v>1492100</v>
      </c>
      <c r="D598" s="1">
        <v>0</v>
      </c>
    </row>
    <row r="599" spans="1:4" x14ac:dyDescent="0.25">
      <c r="A599" s="2">
        <v>38261</v>
      </c>
      <c r="B599" s="1" t="s">
        <v>5</v>
      </c>
      <c r="C599" s="1">
        <f>1499.1*(1000)</f>
        <v>1499100</v>
      </c>
      <c r="D599" s="1">
        <v>0</v>
      </c>
    </row>
    <row r="600" spans="1:4" x14ac:dyDescent="0.25">
      <c r="A600" s="2">
        <v>38292</v>
      </c>
      <c r="B600" s="1" t="s">
        <v>5</v>
      </c>
      <c r="C600" s="1">
        <f>1499.6*(1000)</f>
        <v>1499600</v>
      </c>
      <c r="D600" s="1">
        <v>0</v>
      </c>
    </row>
    <row r="601" spans="1:4" x14ac:dyDescent="0.25">
      <c r="A601" s="2">
        <v>38322</v>
      </c>
      <c r="B601" s="1" t="s">
        <v>5</v>
      </c>
      <c r="C601" s="1">
        <f>1503.7*(1000)</f>
        <v>1503700</v>
      </c>
      <c r="D601" s="1">
        <v>0</v>
      </c>
    </row>
    <row r="602" spans="1:4" x14ac:dyDescent="0.25">
      <c r="A602" s="2">
        <v>38353</v>
      </c>
      <c r="B602" s="1" t="s">
        <v>5</v>
      </c>
      <c r="C602" s="1">
        <f>1501.5*(1000)</f>
        <v>1501500</v>
      </c>
      <c r="D602" s="1">
        <v>0</v>
      </c>
    </row>
    <row r="603" spans="1:4" x14ac:dyDescent="0.25">
      <c r="A603" s="2">
        <v>38384</v>
      </c>
      <c r="B603" s="1" t="s">
        <v>5</v>
      </c>
      <c r="C603" s="1">
        <f>1506.1*(1000)</f>
        <v>1506100</v>
      </c>
      <c r="D603" s="1">
        <v>0</v>
      </c>
    </row>
    <row r="604" spans="1:4" x14ac:dyDescent="0.25">
      <c r="A604" s="2">
        <v>38412</v>
      </c>
      <c r="B604" s="1" t="s">
        <v>5</v>
      </c>
      <c r="C604" s="1">
        <f>1511.3*(1000)</f>
        <v>1511300</v>
      </c>
      <c r="D604" s="1">
        <v>0</v>
      </c>
    </row>
    <row r="605" spans="1:4" x14ac:dyDescent="0.25">
      <c r="A605" s="2">
        <v>38443</v>
      </c>
      <c r="B605" s="1" t="s">
        <v>5</v>
      </c>
      <c r="C605" s="1">
        <f>1517.8*(1000)</f>
        <v>1517800</v>
      </c>
      <c r="D605" s="1">
        <v>0</v>
      </c>
    </row>
    <row r="606" spans="1:4" x14ac:dyDescent="0.25">
      <c r="A606" s="2">
        <v>38473</v>
      </c>
      <c r="B606" s="1" t="s">
        <v>5</v>
      </c>
      <c r="C606" s="1">
        <f>1520.5*(1000)</f>
        <v>1520500</v>
      </c>
      <c r="D606" s="1">
        <v>0</v>
      </c>
    </row>
    <row r="607" spans="1:4" x14ac:dyDescent="0.25">
      <c r="A607" s="2">
        <v>38504</v>
      </c>
      <c r="B607" s="1" t="s">
        <v>5</v>
      </c>
      <c r="C607" s="1">
        <f>1521.3*(1000)</f>
        <v>1521300</v>
      </c>
      <c r="D607" s="1">
        <v>0</v>
      </c>
    </row>
    <row r="608" spans="1:4" x14ac:dyDescent="0.25">
      <c r="A608" s="2">
        <v>38534</v>
      </c>
      <c r="B608" s="1" t="s">
        <v>5</v>
      </c>
      <c r="C608" s="1">
        <f>1527.1*(1000)</f>
        <v>1527100</v>
      </c>
      <c r="D608" s="1">
        <v>0</v>
      </c>
    </row>
    <row r="609" spans="1:4" x14ac:dyDescent="0.25">
      <c r="A609" s="2">
        <v>38565</v>
      </c>
      <c r="B609" s="1" t="s">
        <v>5</v>
      </c>
      <c r="C609" s="1">
        <f>1531*(1000)</f>
        <v>1531000</v>
      </c>
      <c r="D609" s="1">
        <v>0</v>
      </c>
    </row>
    <row r="610" spans="1:4" x14ac:dyDescent="0.25">
      <c r="A610" s="2">
        <v>38596</v>
      </c>
      <c r="B610" s="1" t="s">
        <v>5</v>
      </c>
      <c r="C610" s="1">
        <f>1533.7*(1000)</f>
        <v>1533700</v>
      </c>
      <c r="D610" s="1">
        <v>0</v>
      </c>
    </row>
    <row r="611" spans="1:4" x14ac:dyDescent="0.25">
      <c r="A611" s="2">
        <v>38626</v>
      </c>
      <c r="B611" s="1" t="s">
        <v>5</v>
      </c>
      <c r="C611" s="1">
        <f>1538.1*(1000)</f>
        <v>1538100</v>
      </c>
      <c r="D611" s="1">
        <v>0</v>
      </c>
    </row>
    <row r="612" spans="1:4" x14ac:dyDescent="0.25">
      <c r="A612" s="2">
        <v>38657</v>
      </c>
      <c r="B612" s="1" t="s">
        <v>5</v>
      </c>
      <c r="C612" s="1">
        <f>1545.1*(1000)</f>
        <v>1545100</v>
      </c>
      <c r="D612" s="1">
        <v>0</v>
      </c>
    </row>
    <row r="613" spans="1:4" x14ac:dyDescent="0.25">
      <c r="A613" s="2">
        <v>38687</v>
      </c>
      <c r="B613" s="1" t="s">
        <v>5</v>
      </c>
      <c r="C613" s="1">
        <f>1549.5*(1000)</f>
        <v>1549500</v>
      </c>
      <c r="D613" s="1">
        <v>0</v>
      </c>
    </row>
    <row r="614" spans="1:4" x14ac:dyDescent="0.25">
      <c r="A614" s="2">
        <v>38718</v>
      </c>
      <c r="B614" s="1" t="s">
        <v>5</v>
      </c>
      <c r="C614" s="1">
        <f>1552.5*(1000)</f>
        <v>1552500</v>
      </c>
      <c r="D614" s="1">
        <v>0</v>
      </c>
    </row>
    <row r="615" spans="1:4" x14ac:dyDescent="0.25">
      <c r="A615" s="2">
        <v>38749</v>
      </c>
      <c r="B615" s="1" t="s">
        <v>5</v>
      </c>
      <c r="C615" s="1">
        <f>1555.7*(1000)</f>
        <v>1555700</v>
      </c>
      <c r="D615" s="1">
        <v>0</v>
      </c>
    </row>
    <row r="616" spans="1:4" x14ac:dyDescent="0.25">
      <c r="A616" s="2">
        <v>38777</v>
      </c>
      <c r="B616" s="1" t="s">
        <v>5</v>
      </c>
      <c r="C616" s="1">
        <f>1560.9*(1000)</f>
        <v>1560900</v>
      </c>
      <c r="D616" s="1">
        <v>0</v>
      </c>
    </row>
    <row r="617" spans="1:4" x14ac:dyDescent="0.25">
      <c r="A617" s="2">
        <v>38808</v>
      </c>
      <c r="B617" s="1" t="s">
        <v>5</v>
      </c>
      <c r="C617" s="1">
        <f>1556.6*(1000)</f>
        <v>1556600</v>
      </c>
      <c r="D617" s="1">
        <v>0</v>
      </c>
    </row>
    <row r="618" spans="1:4" x14ac:dyDescent="0.25">
      <c r="A618" s="2">
        <v>38838</v>
      </c>
      <c r="B618" s="1" t="s">
        <v>5</v>
      </c>
      <c r="C618" s="1">
        <f>1562.2*(1000)</f>
        <v>1562200</v>
      </c>
      <c r="D618" s="1">
        <v>0</v>
      </c>
    </row>
    <row r="619" spans="1:4" x14ac:dyDescent="0.25">
      <c r="A619" s="2">
        <v>38869</v>
      </c>
      <c r="B619" s="1" t="s">
        <v>5</v>
      </c>
      <c r="C619" s="1">
        <f>1566.3*(1000)</f>
        <v>1566300</v>
      </c>
      <c r="D619" s="1">
        <v>0</v>
      </c>
    </row>
    <row r="620" spans="1:4" x14ac:dyDescent="0.25">
      <c r="A620" s="2">
        <v>38899</v>
      </c>
      <c r="B620" s="1" t="s">
        <v>5</v>
      </c>
      <c r="C620" s="1">
        <f>1566.8*(1000)</f>
        <v>1566800</v>
      </c>
      <c r="D620" s="1">
        <v>0</v>
      </c>
    </row>
    <row r="621" spans="1:4" x14ac:dyDescent="0.25">
      <c r="A621" s="2">
        <v>38930</v>
      </c>
      <c r="B621" s="1" t="s">
        <v>5</v>
      </c>
      <c r="C621" s="1">
        <f>1572.7*(1000)</f>
        <v>1572700</v>
      </c>
      <c r="D621" s="1">
        <v>0</v>
      </c>
    </row>
    <row r="622" spans="1:4" x14ac:dyDescent="0.25">
      <c r="A622" s="2">
        <v>38961</v>
      </c>
      <c r="B622" s="1" t="s">
        <v>5</v>
      </c>
      <c r="C622" s="1">
        <f>1573.3*(1000)</f>
        <v>1573300</v>
      </c>
      <c r="D622" s="1">
        <v>0</v>
      </c>
    </row>
    <row r="623" spans="1:4" x14ac:dyDescent="0.25">
      <c r="A623" s="2">
        <v>38991</v>
      </c>
      <c r="B623" s="1" t="s">
        <v>5</v>
      </c>
      <c r="C623" s="1">
        <f>1571.8*(1000)</f>
        <v>1571800</v>
      </c>
      <c r="D623" s="1">
        <v>0</v>
      </c>
    </row>
    <row r="624" spans="1:4" x14ac:dyDescent="0.25">
      <c r="A624" s="2">
        <v>39022</v>
      </c>
      <c r="B624" s="1" t="s">
        <v>5</v>
      </c>
      <c r="C624" s="1">
        <f>1572.3*(1000)</f>
        <v>1572300</v>
      </c>
      <c r="D624" s="1">
        <v>0</v>
      </c>
    </row>
    <row r="625" spans="1:4" x14ac:dyDescent="0.25">
      <c r="A625" s="2">
        <v>39052</v>
      </c>
      <c r="B625" s="1" t="s">
        <v>5</v>
      </c>
      <c r="C625" s="1">
        <f>1580.3*(1000)</f>
        <v>1580300</v>
      </c>
      <c r="D625" s="1">
        <v>0</v>
      </c>
    </row>
    <row r="626" spans="1:4" x14ac:dyDescent="0.25">
      <c r="A626" s="2">
        <v>39083</v>
      </c>
      <c r="B626" s="1" t="s">
        <v>5</v>
      </c>
      <c r="C626" s="1">
        <f>1577.1*(1000)</f>
        <v>1577100</v>
      </c>
      <c r="D626" s="1">
        <v>0</v>
      </c>
    </row>
    <row r="627" spans="1:4" x14ac:dyDescent="0.25">
      <c r="A627" s="2">
        <v>39114</v>
      </c>
      <c r="B627" s="1" t="s">
        <v>5</v>
      </c>
      <c r="C627" s="1">
        <f>1581.8*(1000)</f>
        <v>1581800</v>
      </c>
      <c r="D627" s="1">
        <v>0</v>
      </c>
    </row>
    <row r="628" spans="1:4" x14ac:dyDescent="0.25">
      <c r="A628" s="2">
        <v>39142</v>
      </c>
      <c r="B628" s="1" t="s">
        <v>5</v>
      </c>
      <c r="C628" s="1">
        <f>1592.1*(1000)</f>
        <v>1592100</v>
      </c>
      <c r="D628" s="1">
        <v>0</v>
      </c>
    </row>
    <row r="629" spans="1:4" x14ac:dyDescent="0.25">
      <c r="A629" s="2">
        <v>39173</v>
      </c>
      <c r="B629" s="1" t="s">
        <v>5</v>
      </c>
      <c r="C629" s="1">
        <f>1586.9*(1000)</f>
        <v>1586900</v>
      </c>
      <c r="D629" s="1">
        <v>0</v>
      </c>
    </row>
    <row r="630" spans="1:4" x14ac:dyDescent="0.25">
      <c r="A630" s="2">
        <v>39203</v>
      </c>
      <c r="B630" s="1" t="s">
        <v>5</v>
      </c>
      <c r="C630" s="1">
        <f>1589.5*(1000)</f>
        <v>1589500</v>
      </c>
      <c r="D630" s="1">
        <v>0</v>
      </c>
    </row>
    <row r="631" spans="1:4" x14ac:dyDescent="0.25">
      <c r="A631" s="2">
        <v>39234</v>
      </c>
      <c r="B631" s="1" t="s">
        <v>5</v>
      </c>
      <c r="C631" s="1">
        <f>1594.4*(1000)</f>
        <v>1594400</v>
      </c>
      <c r="D631" s="1">
        <v>0</v>
      </c>
    </row>
    <row r="632" spans="1:4" x14ac:dyDescent="0.25">
      <c r="A632" s="2">
        <v>39264</v>
      </c>
      <c r="B632" s="1" t="s">
        <v>5</v>
      </c>
      <c r="C632" s="1">
        <f>1595*(1000)</f>
        <v>1595000</v>
      </c>
      <c r="D632" s="1">
        <v>0</v>
      </c>
    </row>
    <row r="633" spans="1:4" x14ac:dyDescent="0.25">
      <c r="A633" s="2">
        <v>39295</v>
      </c>
      <c r="B633" s="1" t="s">
        <v>5</v>
      </c>
      <c r="C633" s="1">
        <f>1600*(1000)</f>
        <v>1600000</v>
      </c>
      <c r="D633" s="1">
        <v>0</v>
      </c>
    </row>
    <row r="634" spans="1:4" x14ac:dyDescent="0.25">
      <c r="A634" s="2">
        <v>39326</v>
      </c>
      <c r="B634" s="1" t="s">
        <v>5</v>
      </c>
      <c r="C634" s="1">
        <f>1600.9*(1000)</f>
        <v>1600900</v>
      </c>
      <c r="D634" s="1">
        <v>0</v>
      </c>
    </row>
    <row r="635" spans="1:4" x14ac:dyDescent="0.25">
      <c r="A635" s="2">
        <v>39356</v>
      </c>
      <c r="B635" s="1" t="s">
        <v>5</v>
      </c>
      <c r="C635" s="1">
        <f>1605.5*(1000)</f>
        <v>1605500</v>
      </c>
      <c r="D635" s="1">
        <v>0</v>
      </c>
    </row>
    <row r="636" spans="1:4" x14ac:dyDescent="0.25">
      <c r="A636" s="2">
        <v>39387</v>
      </c>
      <c r="B636" s="1" t="s">
        <v>5</v>
      </c>
      <c r="C636" s="1">
        <f>1608.2*(1000)</f>
        <v>1608200</v>
      </c>
      <c r="D636" s="1">
        <v>0</v>
      </c>
    </row>
    <row r="637" spans="1:4" x14ac:dyDescent="0.25">
      <c r="A637" s="2">
        <v>39417</v>
      </c>
      <c r="B637" s="1" t="s">
        <v>5</v>
      </c>
      <c r="C637" s="1">
        <f>1606.6*(1000)</f>
        <v>1606600</v>
      </c>
      <c r="D637" s="1">
        <v>0</v>
      </c>
    </row>
    <row r="638" spans="1:4" x14ac:dyDescent="0.25">
      <c r="A638" s="2">
        <v>39448</v>
      </c>
      <c r="B638" s="1" t="s">
        <v>5</v>
      </c>
      <c r="C638" s="1">
        <f>1615.3*(1000)</f>
        <v>1615300</v>
      </c>
      <c r="D638" s="1">
        <v>0</v>
      </c>
    </row>
    <row r="639" spans="1:4" x14ac:dyDescent="0.25">
      <c r="A639" s="2">
        <v>39479</v>
      </c>
      <c r="B639" s="1" t="s">
        <v>5</v>
      </c>
      <c r="C639" s="1">
        <f>1619.2*(1000)</f>
        <v>1619200</v>
      </c>
      <c r="D639" s="1">
        <v>0</v>
      </c>
    </row>
    <row r="640" spans="1:4" x14ac:dyDescent="0.25">
      <c r="A640" s="2">
        <v>39508</v>
      </c>
      <c r="B640" s="1" t="s">
        <v>5</v>
      </c>
      <c r="C640" s="1">
        <f>1619.7*(1000)</f>
        <v>1619700</v>
      </c>
      <c r="D640" s="1">
        <v>0</v>
      </c>
    </row>
    <row r="641" spans="1:4" x14ac:dyDescent="0.25">
      <c r="A641" s="2">
        <v>39539</v>
      </c>
      <c r="B641" s="1" t="s">
        <v>5</v>
      </c>
      <c r="C641" s="1">
        <f>1619.4*(1000)</f>
        <v>1619400</v>
      </c>
      <c r="D641" s="1">
        <v>0</v>
      </c>
    </row>
    <row r="642" spans="1:4" x14ac:dyDescent="0.25">
      <c r="A642" s="2">
        <v>39569</v>
      </c>
      <c r="B642" s="1" t="s">
        <v>5</v>
      </c>
      <c r="C642" s="1">
        <f>1617.7*(1000)</f>
        <v>1617700</v>
      </c>
      <c r="D642" s="1">
        <v>0</v>
      </c>
    </row>
    <row r="643" spans="1:4" x14ac:dyDescent="0.25">
      <c r="A643" s="2">
        <v>39600</v>
      </c>
      <c r="B643" s="1" t="s">
        <v>5</v>
      </c>
      <c r="C643" s="1">
        <f>1615.5*(1000)</f>
        <v>1615500</v>
      </c>
      <c r="D643" s="1">
        <v>0</v>
      </c>
    </row>
    <row r="644" spans="1:4" x14ac:dyDescent="0.25">
      <c r="A644" s="2">
        <v>39630</v>
      </c>
      <c r="B644" s="1" t="s">
        <v>5</v>
      </c>
      <c r="C644" s="1">
        <f>1619.2*(1000)</f>
        <v>1619200</v>
      </c>
      <c r="D644" s="1">
        <v>0</v>
      </c>
    </row>
    <row r="645" spans="1:4" x14ac:dyDescent="0.25">
      <c r="A645" s="2">
        <v>39661</v>
      </c>
      <c r="B645" s="1" t="s">
        <v>5</v>
      </c>
      <c r="C645" s="1">
        <f>1620.1*(1000)</f>
        <v>1620100</v>
      </c>
      <c r="D645" s="1">
        <v>0</v>
      </c>
    </row>
    <row r="646" spans="1:4" x14ac:dyDescent="0.25">
      <c r="A646" s="2">
        <v>39692</v>
      </c>
      <c r="B646" s="1" t="s">
        <v>5</v>
      </c>
      <c r="C646" s="1">
        <f>1620.4*(1000)</f>
        <v>1620400</v>
      </c>
      <c r="D646" s="1">
        <v>0</v>
      </c>
    </row>
    <row r="647" spans="1:4" x14ac:dyDescent="0.25">
      <c r="A647" s="2">
        <v>39722</v>
      </c>
      <c r="B647" s="1" t="s">
        <v>5</v>
      </c>
      <c r="C647" s="1">
        <f>1619.5*(1000)</f>
        <v>1619500</v>
      </c>
      <c r="D647" s="1">
        <v>0</v>
      </c>
    </row>
    <row r="648" spans="1:4" x14ac:dyDescent="0.25">
      <c r="A648" s="2">
        <v>39753</v>
      </c>
      <c r="B648" s="1" t="s">
        <v>5</v>
      </c>
      <c r="C648" s="1">
        <f>1617*(1000)</f>
        <v>1617000</v>
      </c>
      <c r="D648" s="1">
        <v>0</v>
      </c>
    </row>
    <row r="649" spans="1:4" x14ac:dyDescent="0.25">
      <c r="A649" s="2">
        <v>39783</v>
      </c>
      <c r="B649" s="1" t="s">
        <v>5</v>
      </c>
      <c r="C649" s="1">
        <f>1616.6*(1000)</f>
        <v>1616600</v>
      </c>
      <c r="D649" s="1">
        <v>0</v>
      </c>
    </row>
    <row r="650" spans="1:4" x14ac:dyDescent="0.25">
      <c r="A650" s="2">
        <v>39814</v>
      </c>
      <c r="B650" s="1" t="s">
        <v>5</v>
      </c>
      <c r="C650" s="1">
        <f>1603.6*(1000)</f>
        <v>1603600</v>
      </c>
      <c r="D650" s="1">
        <v>0</v>
      </c>
    </row>
    <row r="651" spans="1:4" x14ac:dyDescent="0.25">
      <c r="A651" s="2">
        <v>39845</v>
      </c>
      <c r="B651" s="1" t="s">
        <v>5</v>
      </c>
      <c r="C651" s="1">
        <f>1597.4*(1000)</f>
        <v>1597400</v>
      </c>
      <c r="D651" s="1">
        <v>0</v>
      </c>
    </row>
    <row r="652" spans="1:4" x14ac:dyDescent="0.25">
      <c r="A652" s="2">
        <v>39873</v>
      </c>
      <c r="B652" s="1" t="s">
        <v>5</v>
      </c>
      <c r="C652" s="1">
        <f>1586.5*(1000)</f>
        <v>1586500</v>
      </c>
      <c r="D652" s="1">
        <v>0</v>
      </c>
    </row>
    <row r="653" spans="1:4" x14ac:dyDescent="0.25">
      <c r="A653" s="2">
        <v>39904</v>
      </c>
      <c r="B653" s="1" t="s">
        <v>5</v>
      </c>
      <c r="C653" s="1">
        <f>1573.4*(1000)</f>
        <v>1573400</v>
      </c>
      <c r="D653" s="1">
        <v>0</v>
      </c>
    </row>
    <row r="654" spans="1:4" x14ac:dyDescent="0.25">
      <c r="A654" s="2">
        <v>39934</v>
      </c>
      <c r="B654" s="1" t="s">
        <v>5</v>
      </c>
      <c r="C654" s="1">
        <f>1570.1*(1000)</f>
        <v>1570100</v>
      </c>
      <c r="D654" s="1">
        <v>0</v>
      </c>
    </row>
    <row r="655" spans="1:4" x14ac:dyDescent="0.25">
      <c r="A655" s="2">
        <v>39965</v>
      </c>
      <c r="B655" s="1" t="s">
        <v>5</v>
      </c>
      <c r="C655" s="1">
        <f>1565.9*(1000)</f>
        <v>1565900</v>
      </c>
      <c r="D655" s="1">
        <v>0</v>
      </c>
    </row>
    <row r="656" spans="1:4" x14ac:dyDescent="0.25">
      <c r="A656" s="2">
        <v>39995</v>
      </c>
      <c r="B656" s="1" t="s">
        <v>5</v>
      </c>
      <c r="C656" s="1">
        <f>1563.9*(1000)</f>
        <v>1563900</v>
      </c>
      <c r="D656" s="1">
        <v>0</v>
      </c>
    </row>
    <row r="657" spans="1:4" x14ac:dyDescent="0.25">
      <c r="A657" s="2">
        <v>40026</v>
      </c>
      <c r="B657" s="1" t="s">
        <v>5</v>
      </c>
      <c r="C657" s="1">
        <f>1557.4*(1000)</f>
        <v>1557400</v>
      </c>
      <c r="D657" s="1">
        <v>0</v>
      </c>
    </row>
    <row r="658" spans="1:4" x14ac:dyDescent="0.25">
      <c r="A658" s="2">
        <v>40057</v>
      </c>
      <c r="B658" s="1" t="s">
        <v>5</v>
      </c>
      <c r="C658" s="1">
        <f>1552.7*(1000)</f>
        <v>1552700</v>
      </c>
      <c r="D658" s="1">
        <v>0</v>
      </c>
    </row>
    <row r="659" spans="1:4" x14ac:dyDescent="0.25">
      <c r="A659" s="2">
        <v>40087</v>
      </c>
      <c r="B659" s="1" t="s">
        <v>5</v>
      </c>
      <c r="C659" s="1">
        <f>1548.8*(1000)</f>
        <v>1548800</v>
      </c>
      <c r="D659" s="1">
        <v>0</v>
      </c>
    </row>
    <row r="660" spans="1:4" x14ac:dyDescent="0.25">
      <c r="A660" s="2">
        <v>40118</v>
      </c>
      <c r="B660" s="1" t="s">
        <v>5</v>
      </c>
      <c r="C660" s="1">
        <f>1546.9*(1000)</f>
        <v>1546900</v>
      </c>
      <c r="D660" s="1">
        <v>0</v>
      </c>
    </row>
    <row r="661" spans="1:4" x14ac:dyDescent="0.25">
      <c r="A661" s="2">
        <v>40148</v>
      </c>
      <c r="B661" s="1" t="s">
        <v>5</v>
      </c>
      <c r="C661" s="1">
        <f>1544.8*(1000)</f>
        <v>1544800</v>
      </c>
      <c r="D661" s="1">
        <v>0</v>
      </c>
    </row>
    <row r="662" spans="1:4" x14ac:dyDescent="0.25">
      <c r="A662" s="2">
        <v>40179</v>
      </c>
      <c r="B662" s="1" t="s">
        <v>5</v>
      </c>
      <c r="C662" s="1">
        <f>1542.9*(1000)</f>
        <v>1542900</v>
      </c>
      <c r="D662" s="1">
        <v>0</v>
      </c>
    </row>
    <row r="663" spans="1:4" x14ac:dyDescent="0.25">
      <c r="A663" s="2">
        <v>40210</v>
      </c>
      <c r="B663" s="1" t="s">
        <v>5</v>
      </c>
      <c r="C663" s="1">
        <f>1543.3*(1000)</f>
        <v>1543300</v>
      </c>
      <c r="D663" s="1">
        <v>0</v>
      </c>
    </row>
    <row r="664" spans="1:4" x14ac:dyDescent="0.25">
      <c r="A664" s="2">
        <v>40238</v>
      </c>
      <c r="B664" s="1" t="s">
        <v>5</v>
      </c>
      <c r="C664" s="1">
        <f>1545.8*(1000)</f>
        <v>1545800</v>
      </c>
      <c r="D664" s="1">
        <v>0</v>
      </c>
    </row>
    <row r="665" spans="1:4" x14ac:dyDescent="0.25">
      <c r="A665" s="2">
        <v>40269</v>
      </c>
      <c r="B665" s="1" t="s">
        <v>5</v>
      </c>
      <c r="C665" s="1">
        <f>1550.4*(1000)</f>
        <v>1550400</v>
      </c>
      <c r="D665" s="1">
        <v>0</v>
      </c>
    </row>
    <row r="666" spans="1:4" x14ac:dyDescent="0.25">
      <c r="A666" s="2">
        <v>40299</v>
      </c>
      <c r="B666" s="1" t="s">
        <v>5</v>
      </c>
      <c r="C666" s="1">
        <f>1559.9*(1000)</f>
        <v>1559900</v>
      </c>
      <c r="D666" s="1">
        <v>0</v>
      </c>
    </row>
    <row r="667" spans="1:4" x14ac:dyDescent="0.25">
      <c r="A667" s="2">
        <v>40330</v>
      </c>
      <c r="B667" s="1" t="s">
        <v>5</v>
      </c>
      <c r="C667" s="1">
        <f>1562.3*(1000)</f>
        <v>1562300</v>
      </c>
      <c r="D667" s="1">
        <v>0</v>
      </c>
    </row>
    <row r="668" spans="1:4" x14ac:dyDescent="0.25">
      <c r="A668" s="2">
        <v>40360</v>
      </c>
      <c r="B668" s="1" t="s">
        <v>5</v>
      </c>
      <c r="C668" s="1">
        <f>1563.5*(1000)</f>
        <v>1563500</v>
      </c>
      <c r="D668" s="1">
        <v>0</v>
      </c>
    </row>
    <row r="669" spans="1:4" x14ac:dyDescent="0.25">
      <c r="A669" s="2">
        <v>40391</v>
      </c>
      <c r="B669" s="1" t="s">
        <v>5</v>
      </c>
      <c r="C669" s="1">
        <f>1557.7*(1000)</f>
        <v>1557700</v>
      </c>
      <c r="D669" s="1">
        <v>0</v>
      </c>
    </row>
    <row r="670" spans="1:4" x14ac:dyDescent="0.25">
      <c r="A670" s="2">
        <v>40422</v>
      </c>
      <c r="B670" s="1" t="s">
        <v>5</v>
      </c>
      <c r="C670" s="1">
        <f>1552.3*(1000)</f>
        <v>1552300</v>
      </c>
      <c r="D670" s="1">
        <v>0</v>
      </c>
    </row>
    <row r="671" spans="1:4" x14ac:dyDescent="0.25">
      <c r="A671" s="2">
        <v>40452</v>
      </c>
      <c r="B671" s="1" t="s">
        <v>5</v>
      </c>
      <c r="C671" s="1">
        <f>1561.1*(1000)</f>
        <v>1561100</v>
      </c>
      <c r="D671" s="1">
        <v>0</v>
      </c>
    </row>
    <row r="672" spans="1:4" x14ac:dyDescent="0.25">
      <c r="A672" s="2">
        <v>40483</v>
      </c>
      <c r="B672" s="1" t="s">
        <v>5</v>
      </c>
      <c r="C672" s="1">
        <f>1563.1*(1000)</f>
        <v>1563100</v>
      </c>
      <c r="D672" s="1">
        <v>0</v>
      </c>
    </row>
    <row r="673" spans="1:4" x14ac:dyDescent="0.25">
      <c r="A673" s="2">
        <v>40513</v>
      </c>
      <c r="B673" s="1" t="s">
        <v>5</v>
      </c>
      <c r="C673" s="1">
        <f>1566.6*(1000)</f>
        <v>1566600</v>
      </c>
      <c r="D673" s="1">
        <v>0</v>
      </c>
    </row>
    <row r="674" spans="1:4" x14ac:dyDescent="0.25">
      <c r="A674" s="2">
        <v>40544</v>
      </c>
      <c r="B674" s="1" t="s">
        <v>5</v>
      </c>
      <c r="C674" s="1">
        <f>1563.5*(1000)</f>
        <v>1563500</v>
      </c>
      <c r="D674" s="1">
        <v>0</v>
      </c>
    </row>
    <row r="675" spans="1:4" x14ac:dyDescent="0.25">
      <c r="A675" s="2">
        <v>40575</v>
      </c>
      <c r="B675" s="1" t="s">
        <v>5</v>
      </c>
      <c r="C675" s="1">
        <f>1556.5*(1000)</f>
        <v>1556500</v>
      </c>
      <c r="D675" s="1">
        <v>0</v>
      </c>
    </row>
    <row r="676" spans="1:4" x14ac:dyDescent="0.25">
      <c r="A676" s="2">
        <v>40603</v>
      </c>
      <c r="B676" s="1" t="s">
        <v>5</v>
      </c>
      <c r="C676" s="1">
        <f>1567.3*(1000)</f>
        <v>1567300</v>
      </c>
      <c r="D676" s="1">
        <v>0</v>
      </c>
    </row>
    <row r="677" spans="1:4" x14ac:dyDescent="0.25">
      <c r="A677" s="2">
        <v>40634</v>
      </c>
      <c r="B677" s="1" t="s">
        <v>5</v>
      </c>
      <c r="C677" s="1">
        <f>1573.7*(1000)</f>
        <v>1573700</v>
      </c>
      <c r="D677" s="1">
        <v>0</v>
      </c>
    </row>
    <row r="678" spans="1:4" x14ac:dyDescent="0.25">
      <c r="A678" s="2">
        <v>40664</v>
      </c>
      <c r="B678" s="1" t="s">
        <v>5</v>
      </c>
      <c r="C678" s="1">
        <f>1574.3*(1000)</f>
        <v>1574300</v>
      </c>
      <c r="D678" s="1">
        <v>0</v>
      </c>
    </row>
    <row r="679" spans="1:4" x14ac:dyDescent="0.25">
      <c r="A679" s="2">
        <v>40695</v>
      </c>
      <c r="B679" s="1" t="s">
        <v>5</v>
      </c>
      <c r="C679" s="1">
        <f>1576.2*(1000)</f>
        <v>1576200</v>
      </c>
      <c r="D679" s="1">
        <v>0</v>
      </c>
    </row>
    <row r="680" spans="1:4" x14ac:dyDescent="0.25">
      <c r="A680" s="2">
        <v>40725</v>
      </c>
      <c r="B680" s="1" t="s">
        <v>5</v>
      </c>
      <c r="C680" s="1">
        <f>1582.5*(1000)</f>
        <v>1582500</v>
      </c>
      <c r="D680" s="1">
        <v>0</v>
      </c>
    </row>
    <row r="681" spans="1:4" x14ac:dyDescent="0.25">
      <c r="A681" s="2">
        <v>40756</v>
      </c>
      <c r="B681" s="1" t="s">
        <v>5</v>
      </c>
      <c r="C681" s="1">
        <f>1580.1*(1000)</f>
        <v>1580100</v>
      </c>
      <c r="D681" s="1">
        <v>0</v>
      </c>
    </row>
    <row r="682" spans="1:4" x14ac:dyDescent="0.25">
      <c r="A682" s="2">
        <v>40787</v>
      </c>
      <c r="B682" s="1" t="s">
        <v>5</v>
      </c>
      <c r="C682" s="1">
        <f>1588.8*(1000)</f>
        <v>1588800</v>
      </c>
      <c r="D682" s="1">
        <v>0</v>
      </c>
    </row>
    <row r="683" spans="1:4" x14ac:dyDescent="0.25">
      <c r="A683" s="2">
        <v>40817</v>
      </c>
      <c r="B683" s="1" t="s">
        <v>5</v>
      </c>
      <c r="C683" s="1">
        <f>1587*(1000)</f>
        <v>1587000</v>
      </c>
      <c r="D683" s="1">
        <v>0</v>
      </c>
    </row>
    <row r="684" spans="1:4" x14ac:dyDescent="0.25">
      <c r="A684" s="2">
        <v>40848</v>
      </c>
      <c r="B684" s="1" t="s">
        <v>5</v>
      </c>
      <c r="C684" s="1">
        <f>1589.1*(1000)</f>
        <v>1589100</v>
      </c>
      <c r="D684" s="1">
        <v>0</v>
      </c>
    </row>
    <row r="685" spans="1:4" x14ac:dyDescent="0.25">
      <c r="A685" s="2">
        <v>40878</v>
      </c>
      <c r="B685" s="1" t="s">
        <v>5</v>
      </c>
      <c r="C685" s="1">
        <f>1593.1*(1000)</f>
        <v>1593100</v>
      </c>
      <c r="D685" s="1">
        <v>0</v>
      </c>
    </row>
    <row r="686" spans="1:4" x14ac:dyDescent="0.25">
      <c r="A686" s="2">
        <v>40909</v>
      </c>
      <c r="B686" s="1" t="s">
        <v>5</v>
      </c>
      <c r="C686" s="1">
        <f>1596.9*(1000)</f>
        <v>1596900</v>
      </c>
      <c r="D686" s="1">
        <v>0</v>
      </c>
    </row>
    <row r="687" spans="1:4" x14ac:dyDescent="0.25">
      <c r="A687" s="2">
        <v>40940</v>
      </c>
      <c r="B687" s="1" t="s">
        <v>5</v>
      </c>
      <c r="C687" s="1">
        <f>1601.9*(1000)</f>
        <v>1601900</v>
      </c>
      <c r="D687" s="1">
        <v>0</v>
      </c>
    </row>
    <row r="688" spans="1:4" x14ac:dyDescent="0.25">
      <c r="A688" s="2">
        <v>40969</v>
      </c>
      <c r="B688" s="1" t="s">
        <v>5</v>
      </c>
      <c r="C688" s="1">
        <f>1605.3*(1000)</f>
        <v>1605300</v>
      </c>
      <c r="D688" s="1">
        <v>0</v>
      </c>
    </row>
    <row r="689" spans="1:4" x14ac:dyDescent="0.25">
      <c r="A689" s="2">
        <v>41000</v>
      </c>
      <c r="B689" s="1" t="s">
        <v>5</v>
      </c>
      <c r="C689" s="1">
        <f>1610.5*(1000)</f>
        <v>1610500</v>
      </c>
      <c r="D689" s="1">
        <v>0</v>
      </c>
    </row>
    <row r="690" spans="1:4" x14ac:dyDescent="0.25">
      <c r="A690" s="2">
        <v>41030</v>
      </c>
      <c r="B690" s="1" t="s">
        <v>5</v>
      </c>
      <c r="C690" s="1">
        <f>1612.6*(1000)</f>
        <v>1612600</v>
      </c>
      <c r="D690" s="1">
        <v>0</v>
      </c>
    </row>
    <row r="691" spans="1:4" x14ac:dyDescent="0.25">
      <c r="A691" s="2">
        <v>41061</v>
      </c>
      <c r="B691" s="1" t="s">
        <v>5</v>
      </c>
      <c r="C691" s="1">
        <f>1615.4*(1000)</f>
        <v>1615400</v>
      </c>
      <c r="D691" s="1">
        <v>0</v>
      </c>
    </row>
    <row r="692" spans="1:4" x14ac:dyDescent="0.25">
      <c r="A692" s="2">
        <v>41091</v>
      </c>
      <c r="B692" s="1" t="s">
        <v>5</v>
      </c>
      <c r="C692" s="1">
        <f>1613.6*(1000)</f>
        <v>1613600</v>
      </c>
      <c r="D692" s="1">
        <v>0</v>
      </c>
    </row>
    <row r="693" spans="1:4" x14ac:dyDescent="0.25">
      <c r="A693" s="2">
        <v>41122</v>
      </c>
      <c r="B693" s="1" t="s">
        <v>5</v>
      </c>
      <c r="C693" s="1">
        <f>1615.4*(1000)</f>
        <v>1615400</v>
      </c>
      <c r="D693" s="1">
        <v>0</v>
      </c>
    </row>
    <row r="694" spans="1:4" x14ac:dyDescent="0.25">
      <c r="A694" s="2">
        <v>41153</v>
      </c>
      <c r="B694" s="1" t="s">
        <v>5</v>
      </c>
      <c r="C694" s="1">
        <f>1616.8*(1000)</f>
        <v>1616800</v>
      </c>
      <c r="D694" s="1">
        <v>0</v>
      </c>
    </row>
    <row r="695" spans="1:4" x14ac:dyDescent="0.25">
      <c r="A695" s="2">
        <v>41183</v>
      </c>
      <c r="B695" s="1" t="s">
        <v>5</v>
      </c>
      <c r="C695" s="1">
        <f>1623.7*(1000)</f>
        <v>1623700</v>
      </c>
      <c r="D695" s="1">
        <v>0</v>
      </c>
    </row>
    <row r="696" spans="1:4" x14ac:dyDescent="0.25">
      <c r="A696" s="2">
        <v>41214</v>
      </c>
      <c r="B696" s="1" t="s">
        <v>5</v>
      </c>
      <c r="C696" s="1">
        <f>1626.6*(1000)</f>
        <v>1626600</v>
      </c>
      <c r="D696" s="1">
        <v>0</v>
      </c>
    </row>
    <row r="697" spans="1:4" x14ac:dyDescent="0.25">
      <c r="A697" s="2">
        <v>41244</v>
      </c>
      <c r="B697" s="1" t="s">
        <v>5</v>
      </c>
      <c r="C697" s="1">
        <f>1630*(1000)</f>
        <v>1630000</v>
      </c>
      <c r="D697" s="1">
        <v>0</v>
      </c>
    </row>
    <row r="698" spans="1:4" x14ac:dyDescent="0.25">
      <c r="A698" s="2">
        <v>41275</v>
      </c>
      <c r="B698" s="1" t="s">
        <v>5</v>
      </c>
      <c r="C698" s="1">
        <f>1623.3*(1000)</f>
        <v>1623300</v>
      </c>
      <c r="D698" s="1">
        <v>0</v>
      </c>
    </row>
    <row r="699" spans="1:4" x14ac:dyDescent="0.25">
      <c r="A699" s="2">
        <v>41306</v>
      </c>
      <c r="B699" s="1" t="s">
        <v>5</v>
      </c>
      <c r="C699" s="1">
        <f>1626.6*(1000)</f>
        <v>1626600</v>
      </c>
      <c r="D699" s="1">
        <v>0</v>
      </c>
    </row>
    <row r="700" spans="1:4" x14ac:dyDescent="0.25">
      <c r="A700" s="2">
        <v>41334</v>
      </c>
      <c r="B700" s="1" t="s">
        <v>5</v>
      </c>
      <c r="C700" s="1">
        <f>1628.7*(1000)</f>
        <v>1628700</v>
      </c>
      <c r="D700" s="1">
        <v>0</v>
      </c>
    </row>
    <row r="701" spans="1:4" x14ac:dyDescent="0.25">
      <c r="A701" s="2">
        <v>41365</v>
      </c>
      <c r="B701" s="1" t="s">
        <v>5</v>
      </c>
      <c r="C701" s="1">
        <f>1628.4*(1000)</f>
        <v>1628400</v>
      </c>
      <c r="D701" s="1">
        <v>0</v>
      </c>
    </row>
    <row r="702" spans="1:4" x14ac:dyDescent="0.25">
      <c r="A702" s="2">
        <v>41395</v>
      </c>
      <c r="B702" s="1" t="s">
        <v>5</v>
      </c>
      <c r="C702" s="1">
        <f>1630.2*(1000)</f>
        <v>1630200</v>
      </c>
      <c r="D702" s="1">
        <v>0</v>
      </c>
    </row>
    <row r="703" spans="1:4" x14ac:dyDescent="0.25">
      <c r="A703" s="2">
        <v>41426</v>
      </c>
      <c r="B703" s="1" t="s">
        <v>5</v>
      </c>
      <c r="C703" s="1">
        <f>1631.9*(1000)</f>
        <v>1631900</v>
      </c>
      <c r="D703" s="1">
        <v>0</v>
      </c>
    </row>
    <row r="704" spans="1:4" x14ac:dyDescent="0.25">
      <c r="A704" s="2">
        <v>41456</v>
      </c>
      <c r="B704" s="1" t="s">
        <v>5</v>
      </c>
      <c r="C704" s="1">
        <f>1633.5*(1000)</f>
        <v>1633500</v>
      </c>
      <c r="D704" s="1">
        <v>0</v>
      </c>
    </row>
    <row r="705" spans="1:4" x14ac:dyDescent="0.25">
      <c r="A705" s="2">
        <v>41487</v>
      </c>
      <c r="B705" s="1" t="s">
        <v>5</v>
      </c>
      <c r="C705" s="1">
        <f>1635.2*(1000)</f>
        <v>1635200</v>
      </c>
      <c r="D705" s="1">
        <v>0</v>
      </c>
    </row>
    <row r="706" spans="1:4" x14ac:dyDescent="0.25">
      <c r="A706" s="2">
        <v>41518</v>
      </c>
      <c r="B706" s="1" t="s">
        <v>5</v>
      </c>
      <c r="C706" s="1">
        <f>1636.6*(1000)</f>
        <v>1636600</v>
      </c>
      <c r="D706" s="1">
        <v>0</v>
      </c>
    </row>
    <row r="707" spans="1:4" x14ac:dyDescent="0.25">
      <c r="A707" s="2">
        <v>41548</v>
      </c>
      <c r="B707" s="1" t="s">
        <v>5</v>
      </c>
      <c r="C707" s="1">
        <f>1637.1*(1000)</f>
        <v>1637100</v>
      </c>
      <c r="D707" s="1">
        <v>0</v>
      </c>
    </row>
    <row r="708" spans="1:4" x14ac:dyDescent="0.25">
      <c r="A708" s="2">
        <v>41579</v>
      </c>
      <c r="B708" s="1" t="s">
        <v>5</v>
      </c>
      <c r="C708" s="1">
        <f>1643.5*(1000)</f>
        <v>1643500</v>
      </c>
      <c r="D708" s="1">
        <v>0</v>
      </c>
    </row>
    <row r="709" spans="1:4" x14ac:dyDescent="0.25">
      <c r="A709" s="2">
        <v>41609</v>
      </c>
      <c r="B709" s="1" t="s">
        <v>5</v>
      </c>
      <c r="C709" s="1">
        <f>1645.2*(1000)</f>
        <v>1645200</v>
      </c>
      <c r="D709" s="1">
        <v>0</v>
      </c>
    </row>
    <row r="710" spans="1:4" x14ac:dyDescent="0.25">
      <c r="A710" s="2">
        <v>41640</v>
      </c>
      <c r="B710" s="1" t="s">
        <v>5</v>
      </c>
      <c r="C710" s="1">
        <f>1650.9*(1000)</f>
        <v>1650900</v>
      </c>
      <c r="D710" s="1">
        <v>0</v>
      </c>
    </row>
    <row r="711" spans="1:4" x14ac:dyDescent="0.25">
      <c r="A711" s="2">
        <v>41671</v>
      </c>
      <c r="B711" s="1" t="s">
        <v>5</v>
      </c>
      <c r="C711" s="1">
        <f>1649.5*(1000)</f>
        <v>1649500</v>
      </c>
      <c r="D711" s="1">
        <v>0</v>
      </c>
    </row>
    <row r="712" spans="1:4" x14ac:dyDescent="0.25">
      <c r="A712" s="2">
        <v>41699</v>
      </c>
      <c r="B712" s="1" t="s">
        <v>5</v>
      </c>
      <c r="C712" s="1">
        <f>1649.9*(1000)</f>
        <v>1649900</v>
      </c>
      <c r="D712" s="1">
        <v>0</v>
      </c>
    </row>
    <row r="713" spans="1:4" x14ac:dyDescent="0.25">
      <c r="A713" s="2">
        <v>41730</v>
      </c>
      <c r="B713" s="1" t="s">
        <v>5</v>
      </c>
      <c r="C713" s="1">
        <f>1655.1*(1000)</f>
        <v>1655100</v>
      </c>
      <c r="D713" s="1">
        <v>0</v>
      </c>
    </row>
    <row r="714" spans="1:4" x14ac:dyDescent="0.25">
      <c r="A714" s="2">
        <v>41760</v>
      </c>
      <c r="B714" s="1" t="s">
        <v>5</v>
      </c>
      <c r="C714" s="1">
        <f>1656.2*(1000)</f>
        <v>1656200</v>
      </c>
      <c r="D714" s="1">
        <v>0</v>
      </c>
    </row>
    <row r="715" spans="1:4" x14ac:dyDescent="0.25">
      <c r="A715" s="2">
        <v>41791</v>
      </c>
      <c r="B715" s="1" t="s">
        <v>5</v>
      </c>
      <c r="C715" s="1">
        <f>1664.8*(1000)</f>
        <v>1664800</v>
      </c>
      <c r="D715" s="1">
        <v>0</v>
      </c>
    </row>
    <row r="716" spans="1:4" x14ac:dyDescent="0.25">
      <c r="A716" s="2">
        <v>41821</v>
      </c>
      <c r="B716" s="1" t="s">
        <v>5</v>
      </c>
      <c r="C716" s="1">
        <f>1665.6*(1000)</f>
        <v>1665600</v>
      </c>
      <c r="D716" s="1">
        <v>0</v>
      </c>
    </row>
    <row r="717" spans="1:4" x14ac:dyDescent="0.25">
      <c r="A717" s="2">
        <v>41852</v>
      </c>
      <c r="B717" s="1" t="s">
        <v>5</v>
      </c>
      <c r="C717" s="1">
        <f>1667.2*(1000)</f>
        <v>1667200</v>
      </c>
      <c r="D717" s="1">
        <v>0</v>
      </c>
    </row>
    <row r="718" spans="1:4" x14ac:dyDescent="0.25">
      <c r="A718" s="2">
        <v>41883</v>
      </c>
      <c r="B718" s="1" t="s">
        <v>5</v>
      </c>
      <c r="C718" s="1">
        <f>1670.1*(1000)</f>
        <v>1670100</v>
      </c>
      <c r="D718" s="1">
        <v>0</v>
      </c>
    </row>
    <row r="719" spans="1:4" x14ac:dyDescent="0.25">
      <c r="A719" s="2">
        <v>41913</v>
      </c>
      <c r="B719" s="1" t="s">
        <v>5</v>
      </c>
      <c r="C719" s="1">
        <f>1673.6*(1000)</f>
        <v>1673600</v>
      </c>
      <c r="D719" s="1">
        <v>0</v>
      </c>
    </row>
    <row r="720" spans="1:4" x14ac:dyDescent="0.25">
      <c r="A720" s="2">
        <v>41944</v>
      </c>
      <c r="B720" s="1" t="s">
        <v>5</v>
      </c>
      <c r="C720" s="1">
        <f>1676.2*(1000)</f>
        <v>1676200</v>
      </c>
      <c r="D720" s="1">
        <v>0</v>
      </c>
    </row>
    <row r="721" spans="1:4" x14ac:dyDescent="0.25">
      <c r="A721" s="2">
        <v>41974</v>
      </c>
      <c r="B721" s="1" t="s">
        <v>5</v>
      </c>
      <c r="C721" s="1">
        <f>1681.9*(1000)</f>
        <v>1681900</v>
      </c>
      <c r="D721" s="1">
        <v>0</v>
      </c>
    </row>
    <row r="722" spans="1:4" x14ac:dyDescent="0.25">
      <c r="A722" s="2">
        <v>36526</v>
      </c>
      <c r="B722" s="1" t="s">
        <v>6</v>
      </c>
      <c r="C722" s="1">
        <f>326.6*(1000)</f>
        <v>326600</v>
      </c>
      <c r="D722" s="1">
        <v>0</v>
      </c>
    </row>
    <row r="723" spans="1:4" x14ac:dyDescent="0.25">
      <c r="A723" s="2">
        <v>36557</v>
      </c>
      <c r="B723" s="1" t="s">
        <v>6</v>
      </c>
      <c r="C723" s="1">
        <f>326.2*(1000)</f>
        <v>326200</v>
      </c>
      <c r="D723" s="1">
        <v>0</v>
      </c>
    </row>
    <row r="724" spans="1:4" x14ac:dyDescent="0.25">
      <c r="A724" s="2">
        <v>36586</v>
      </c>
      <c r="B724" s="1" t="s">
        <v>6</v>
      </c>
      <c r="C724" s="1">
        <f>327.6*(1000)</f>
        <v>327600</v>
      </c>
      <c r="D724" s="1">
        <v>0</v>
      </c>
    </row>
    <row r="725" spans="1:4" x14ac:dyDescent="0.25">
      <c r="A725" s="2">
        <v>36617</v>
      </c>
      <c r="B725" s="1" t="s">
        <v>6</v>
      </c>
      <c r="C725" s="1">
        <f>327.6*(1000)</f>
        <v>327600</v>
      </c>
      <c r="D725" s="1">
        <v>0</v>
      </c>
    </row>
    <row r="726" spans="1:4" x14ac:dyDescent="0.25">
      <c r="A726" s="2">
        <v>36647</v>
      </c>
      <c r="B726" s="1" t="s">
        <v>6</v>
      </c>
      <c r="C726" s="1">
        <f>327.7*(1000)</f>
        <v>327700</v>
      </c>
      <c r="D726" s="1">
        <v>0</v>
      </c>
    </row>
    <row r="727" spans="1:4" x14ac:dyDescent="0.25">
      <c r="A727" s="2">
        <v>36678</v>
      </c>
      <c r="B727" s="1" t="s">
        <v>6</v>
      </c>
      <c r="C727" s="1">
        <f>326.4*(1000)</f>
        <v>326400</v>
      </c>
      <c r="D727" s="1">
        <v>0</v>
      </c>
    </row>
    <row r="728" spans="1:4" x14ac:dyDescent="0.25">
      <c r="A728" s="2">
        <v>36708</v>
      </c>
      <c r="B728" s="1" t="s">
        <v>6</v>
      </c>
      <c r="C728" s="1">
        <f>331.2*(1000)</f>
        <v>331200</v>
      </c>
      <c r="D728" s="1">
        <v>0</v>
      </c>
    </row>
    <row r="729" spans="1:4" x14ac:dyDescent="0.25">
      <c r="A729" s="2">
        <v>36739</v>
      </c>
      <c r="B729" s="1" t="s">
        <v>6</v>
      </c>
      <c r="C729" s="1">
        <f>329.3*(1000)</f>
        <v>329300</v>
      </c>
      <c r="D729" s="1">
        <v>0</v>
      </c>
    </row>
    <row r="730" spans="1:4" x14ac:dyDescent="0.25">
      <c r="A730" s="2">
        <v>36770</v>
      </c>
      <c r="B730" s="1" t="s">
        <v>6</v>
      </c>
      <c r="C730" s="1">
        <f>328*(1000)</f>
        <v>328000</v>
      </c>
      <c r="D730" s="1">
        <v>0</v>
      </c>
    </row>
    <row r="731" spans="1:4" x14ac:dyDescent="0.25">
      <c r="A731" s="2">
        <v>36800</v>
      </c>
      <c r="B731" s="1" t="s">
        <v>6</v>
      </c>
      <c r="C731" s="1">
        <f>327.7*(1000)</f>
        <v>327700</v>
      </c>
      <c r="D731" s="1">
        <v>0</v>
      </c>
    </row>
    <row r="732" spans="1:4" x14ac:dyDescent="0.25">
      <c r="A732" s="2">
        <v>36831</v>
      </c>
      <c r="B732" s="1" t="s">
        <v>6</v>
      </c>
      <c r="C732" s="1">
        <f>327.6*(1000)</f>
        <v>327600</v>
      </c>
      <c r="D732" s="1">
        <v>0</v>
      </c>
    </row>
    <row r="733" spans="1:4" x14ac:dyDescent="0.25">
      <c r="A733" s="2">
        <v>36861</v>
      </c>
      <c r="B733" s="1" t="s">
        <v>6</v>
      </c>
      <c r="C733" s="1">
        <f>328.1*(1000)</f>
        <v>328100</v>
      </c>
      <c r="D733" s="1">
        <v>0</v>
      </c>
    </row>
    <row r="734" spans="1:4" x14ac:dyDescent="0.25">
      <c r="A734" s="2">
        <v>36892</v>
      </c>
      <c r="B734" s="1" t="s">
        <v>6</v>
      </c>
      <c r="C734" s="1">
        <f>330*(1000)</f>
        <v>330000</v>
      </c>
      <c r="D734" s="1">
        <v>0</v>
      </c>
    </row>
    <row r="735" spans="1:4" x14ac:dyDescent="0.25">
      <c r="A735" s="2">
        <v>36923</v>
      </c>
      <c r="B735" s="1" t="s">
        <v>6</v>
      </c>
      <c r="C735" s="1">
        <f>330*(1000)</f>
        <v>330000</v>
      </c>
      <c r="D735" s="1">
        <v>0</v>
      </c>
    </row>
    <row r="736" spans="1:4" x14ac:dyDescent="0.25">
      <c r="A736" s="2">
        <v>36951</v>
      </c>
      <c r="B736" s="1" t="s">
        <v>6</v>
      </c>
      <c r="C736" s="1">
        <f>330.7*(1000)</f>
        <v>330700</v>
      </c>
      <c r="D736" s="1">
        <v>0</v>
      </c>
    </row>
    <row r="737" spans="1:4" x14ac:dyDescent="0.25">
      <c r="A737" s="2">
        <v>36982</v>
      </c>
      <c r="B737" s="1" t="s">
        <v>6</v>
      </c>
      <c r="C737" s="1">
        <f>330.3*(1000)</f>
        <v>330300</v>
      </c>
      <c r="D737" s="1">
        <v>0</v>
      </c>
    </row>
    <row r="738" spans="1:4" x14ac:dyDescent="0.25">
      <c r="A738" s="2">
        <v>37012</v>
      </c>
      <c r="B738" s="1" t="s">
        <v>6</v>
      </c>
      <c r="C738" s="1">
        <f>330.3*(1000)</f>
        <v>330300</v>
      </c>
      <c r="D738" s="1">
        <v>0</v>
      </c>
    </row>
    <row r="739" spans="1:4" x14ac:dyDescent="0.25">
      <c r="A739" s="2">
        <v>37043</v>
      </c>
      <c r="B739" s="1" t="s">
        <v>6</v>
      </c>
      <c r="C739" s="1">
        <f>330.4*(1000)</f>
        <v>330400</v>
      </c>
      <c r="D739" s="1">
        <v>0</v>
      </c>
    </row>
    <row r="740" spans="1:4" x14ac:dyDescent="0.25">
      <c r="A740" s="2">
        <v>37073</v>
      </c>
      <c r="B740" s="1" t="s">
        <v>6</v>
      </c>
      <c r="C740" s="1">
        <f>329.1*(1000)</f>
        <v>329100</v>
      </c>
      <c r="D740" s="1">
        <v>0</v>
      </c>
    </row>
    <row r="741" spans="1:4" x14ac:dyDescent="0.25">
      <c r="A741" s="2">
        <v>37104</v>
      </c>
      <c r="B741" s="1" t="s">
        <v>6</v>
      </c>
      <c r="C741" s="1">
        <f>328.3*(1000)</f>
        <v>328300</v>
      </c>
      <c r="D741" s="1">
        <v>0</v>
      </c>
    </row>
    <row r="742" spans="1:4" x14ac:dyDescent="0.25">
      <c r="A742" s="2">
        <v>37135</v>
      </c>
      <c r="B742" s="1" t="s">
        <v>6</v>
      </c>
      <c r="C742" s="1">
        <f>330.1*(1000)</f>
        <v>330100</v>
      </c>
      <c r="D742" s="1">
        <v>0</v>
      </c>
    </row>
    <row r="743" spans="1:4" x14ac:dyDescent="0.25">
      <c r="A743" s="2">
        <v>37165</v>
      </c>
      <c r="B743" s="1" t="s">
        <v>6</v>
      </c>
      <c r="C743" s="1">
        <f>329.9*(1000)</f>
        <v>329900</v>
      </c>
      <c r="D743" s="1">
        <v>0</v>
      </c>
    </row>
    <row r="744" spans="1:4" x14ac:dyDescent="0.25">
      <c r="A744" s="2">
        <v>37196</v>
      </c>
      <c r="B744" s="1" t="s">
        <v>6</v>
      </c>
      <c r="C744" s="1">
        <f>329.8*(1000)</f>
        <v>329800</v>
      </c>
      <c r="D744" s="1">
        <v>0</v>
      </c>
    </row>
    <row r="745" spans="1:4" x14ac:dyDescent="0.25">
      <c r="A745" s="2">
        <v>37226</v>
      </c>
      <c r="B745" s="1" t="s">
        <v>6</v>
      </c>
      <c r="C745" s="1">
        <f>329.4*(1000)</f>
        <v>329400</v>
      </c>
      <c r="D745" s="1">
        <v>0</v>
      </c>
    </row>
    <row r="746" spans="1:4" x14ac:dyDescent="0.25">
      <c r="A746" s="2">
        <v>37257</v>
      </c>
      <c r="B746" s="1" t="s">
        <v>6</v>
      </c>
      <c r="C746" s="1">
        <f>329.8*(1000)</f>
        <v>329800</v>
      </c>
      <c r="D746" s="1">
        <v>0</v>
      </c>
    </row>
    <row r="747" spans="1:4" x14ac:dyDescent="0.25">
      <c r="A747" s="2">
        <v>37288</v>
      </c>
      <c r="B747" s="1" t="s">
        <v>6</v>
      </c>
      <c r="C747" s="1">
        <f>329.8*(1000)</f>
        <v>329800</v>
      </c>
      <c r="D747" s="1">
        <v>0</v>
      </c>
    </row>
    <row r="748" spans="1:4" x14ac:dyDescent="0.25">
      <c r="A748" s="2">
        <v>37316</v>
      </c>
      <c r="B748" s="1" t="s">
        <v>6</v>
      </c>
      <c r="C748" s="1">
        <f>328.2*(1000)</f>
        <v>328200</v>
      </c>
      <c r="D748" s="1">
        <v>0</v>
      </c>
    </row>
    <row r="749" spans="1:4" x14ac:dyDescent="0.25">
      <c r="A749" s="2">
        <v>37347</v>
      </c>
      <c r="B749" s="1" t="s">
        <v>6</v>
      </c>
      <c r="C749" s="1">
        <f>328.8*(1000)</f>
        <v>328800</v>
      </c>
      <c r="D749" s="1">
        <v>0</v>
      </c>
    </row>
    <row r="750" spans="1:4" x14ac:dyDescent="0.25">
      <c r="A750" s="2">
        <v>37377</v>
      </c>
      <c r="B750" s="1" t="s">
        <v>6</v>
      </c>
      <c r="C750" s="1">
        <f>329.4*(1000)</f>
        <v>329400</v>
      </c>
      <c r="D750" s="1">
        <v>0</v>
      </c>
    </row>
    <row r="751" spans="1:4" x14ac:dyDescent="0.25">
      <c r="A751" s="2">
        <v>37408</v>
      </c>
      <c r="B751" s="1" t="s">
        <v>6</v>
      </c>
      <c r="C751" s="1">
        <f>330.4*(1000)</f>
        <v>330400</v>
      </c>
      <c r="D751" s="1">
        <v>0</v>
      </c>
    </row>
    <row r="752" spans="1:4" x14ac:dyDescent="0.25">
      <c r="A752" s="2">
        <v>37438</v>
      </c>
      <c r="B752" s="1" t="s">
        <v>6</v>
      </c>
      <c r="C752" s="1">
        <f>329.8*(1000)</f>
        <v>329800</v>
      </c>
      <c r="D752" s="1">
        <v>0</v>
      </c>
    </row>
    <row r="753" spans="1:4" x14ac:dyDescent="0.25">
      <c r="A753" s="2">
        <v>37469</v>
      </c>
      <c r="B753" s="1" t="s">
        <v>6</v>
      </c>
      <c r="C753" s="1">
        <f>330.1*(1000)</f>
        <v>330100</v>
      </c>
      <c r="D753" s="1">
        <v>0</v>
      </c>
    </row>
    <row r="754" spans="1:4" x14ac:dyDescent="0.25">
      <c r="A754" s="2">
        <v>37500</v>
      </c>
      <c r="B754" s="1" t="s">
        <v>6</v>
      </c>
      <c r="C754" s="1">
        <f>330.2*(1000)</f>
        <v>330200</v>
      </c>
      <c r="D754" s="1">
        <v>0</v>
      </c>
    </row>
    <row r="755" spans="1:4" x14ac:dyDescent="0.25">
      <c r="A755" s="2">
        <v>37530</v>
      </c>
      <c r="B755" s="1" t="s">
        <v>6</v>
      </c>
      <c r="C755" s="1">
        <f>330.3*(1000)</f>
        <v>330300</v>
      </c>
      <c r="D755" s="1">
        <v>0</v>
      </c>
    </row>
    <row r="756" spans="1:4" x14ac:dyDescent="0.25">
      <c r="A756" s="2">
        <v>37561</v>
      </c>
      <c r="B756" s="1" t="s">
        <v>6</v>
      </c>
      <c r="C756" s="1">
        <f>331*(1000)</f>
        <v>331000</v>
      </c>
      <c r="D756" s="1">
        <v>0</v>
      </c>
    </row>
    <row r="757" spans="1:4" x14ac:dyDescent="0.25">
      <c r="A757" s="2">
        <v>37591</v>
      </c>
      <c r="B757" s="1" t="s">
        <v>6</v>
      </c>
      <c r="C757" s="1">
        <f>331.7*(1000)</f>
        <v>331700</v>
      </c>
      <c r="D757" s="1">
        <v>0</v>
      </c>
    </row>
    <row r="758" spans="1:4" x14ac:dyDescent="0.25">
      <c r="A758" s="2">
        <v>37622</v>
      </c>
      <c r="B758" s="1" t="s">
        <v>6</v>
      </c>
      <c r="C758" s="1">
        <f>331.3*(1000)</f>
        <v>331300</v>
      </c>
      <c r="D758" s="1">
        <v>0</v>
      </c>
    </row>
    <row r="759" spans="1:4" x14ac:dyDescent="0.25">
      <c r="A759" s="2">
        <v>37653</v>
      </c>
      <c r="B759" s="1" t="s">
        <v>6</v>
      </c>
      <c r="C759" s="1">
        <f>331.4*(1000)</f>
        <v>331400</v>
      </c>
      <c r="D759" s="1">
        <v>0</v>
      </c>
    </row>
    <row r="760" spans="1:4" x14ac:dyDescent="0.25">
      <c r="A760" s="2">
        <v>37681</v>
      </c>
      <c r="B760" s="1" t="s">
        <v>6</v>
      </c>
      <c r="C760" s="1">
        <f>331.5*(1000)</f>
        <v>331500</v>
      </c>
      <c r="D760" s="1">
        <v>0</v>
      </c>
    </row>
    <row r="761" spans="1:4" x14ac:dyDescent="0.25">
      <c r="A761" s="2">
        <v>37712</v>
      </c>
      <c r="B761" s="1" t="s">
        <v>6</v>
      </c>
      <c r="C761" s="1">
        <f>331.7*(1000)</f>
        <v>331700</v>
      </c>
      <c r="D761" s="1">
        <v>0</v>
      </c>
    </row>
    <row r="762" spans="1:4" x14ac:dyDescent="0.25">
      <c r="A762" s="2">
        <v>37742</v>
      </c>
      <c r="B762" s="1" t="s">
        <v>6</v>
      </c>
      <c r="C762" s="1">
        <f>332.3*(1000)</f>
        <v>332300</v>
      </c>
      <c r="D762" s="1">
        <v>0</v>
      </c>
    </row>
    <row r="763" spans="1:4" x14ac:dyDescent="0.25">
      <c r="A763" s="2">
        <v>37773</v>
      </c>
      <c r="B763" s="1" t="s">
        <v>6</v>
      </c>
      <c r="C763" s="1">
        <f>332.1*(1000)</f>
        <v>332100</v>
      </c>
      <c r="D763" s="1">
        <v>0</v>
      </c>
    </row>
    <row r="764" spans="1:4" x14ac:dyDescent="0.25">
      <c r="A764" s="2">
        <v>37803</v>
      </c>
      <c r="B764" s="1" t="s">
        <v>6</v>
      </c>
      <c r="C764" s="1">
        <f>331.7*(1000)</f>
        <v>331700</v>
      </c>
      <c r="D764" s="1">
        <v>0</v>
      </c>
    </row>
    <row r="765" spans="1:4" x14ac:dyDescent="0.25">
      <c r="A765" s="2">
        <v>37834</v>
      </c>
      <c r="B765" s="1" t="s">
        <v>6</v>
      </c>
      <c r="C765" s="1">
        <f>334.5*(1000)</f>
        <v>334500</v>
      </c>
      <c r="D765" s="1">
        <v>0</v>
      </c>
    </row>
    <row r="766" spans="1:4" x14ac:dyDescent="0.25">
      <c r="A766" s="2">
        <v>37865</v>
      </c>
      <c r="B766" s="1" t="s">
        <v>6</v>
      </c>
      <c r="C766" s="1">
        <f>334.5*(1000)</f>
        <v>334500</v>
      </c>
      <c r="D766" s="1">
        <v>0</v>
      </c>
    </row>
    <row r="767" spans="1:4" x14ac:dyDescent="0.25">
      <c r="A767" s="2">
        <v>37895</v>
      </c>
      <c r="B767" s="1" t="s">
        <v>6</v>
      </c>
      <c r="C767" s="1">
        <f>333.6*(1000)</f>
        <v>333600</v>
      </c>
      <c r="D767" s="1">
        <v>0</v>
      </c>
    </row>
    <row r="768" spans="1:4" x14ac:dyDescent="0.25">
      <c r="A768" s="2">
        <v>37926</v>
      </c>
      <c r="B768" s="1" t="s">
        <v>6</v>
      </c>
      <c r="C768" s="1">
        <f>334*(1000)</f>
        <v>334000</v>
      </c>
      <c r="D768" s="1">
        <v>0</v>
      </c>
    </row>
    <row r="769" spans="1:4" x14ac:dyDescent="0.25">
      <c r="A769" s="2">
        <v>37956</v>
      </c>
      <c r="B769" s="1" t="s">
        <v>6</v>
      </c>
      <c r="C769" s="1">
        <f>334.5*(1000)</f>
        <v>334500</v>
      </c>
      <c r="D769" s="1">
        <v>0</v>
      </c>
    </row>
    <row r="770" spans="1:4" x14ac:dyDescent="0.25">
      <c r="A770" s="2">
        <v>37987</v>
      </c>
      <c r="B770" s="1" t="s">
        <v>6</v>
      </c>
      <c r="C770" s="1">
        <f>333.9*(1000)</f>
        <v>333900</v>
      </c>
      <c r="D770" s="1">
        <v>0</v>
      </c>
    </row>
    <row r="771" spans="1:4" x14ac:dyDescent="0.25">
      <c r="A771" s="2">
        <v>38018</v>
      </c>
      <c r="B771" s="1" t="s">
        <v>6</v>
      </c>
      <c r="C771" s="1">
        <f>334.2*(1000)</f>
        <v>334200</v>
      </c>
      <c r="D771" s="1">
        <v>0</v>
      </c>
    </row>
    <row r="772" spans="1:4" x14ac:dyDescent="0.25">
      <c r="A772" s="2">
        <v>38047</v>
      </c>
      <c r="B772" s="1" t="s">
        <v>6</v>
      </c>
      <c r="C772" s="1">
        <f>334.7*(1000)</f>
        <v>334700</v>
      </c>
      <c r="D772" s="1">
        <v>0</v>
      </c>
    </row>
    <row r="773" spans="1:4" x14ac:dyDescent="0.25">
      <c r="A773" s="2">
        <v>38078</v>
      </c>
      <c r="B773" s="1" t="s">
        <v>6</v>
      </c>
      <c r="C773" s="1">
        <f>335.8*(1000)</f>
        <v>335800</v>
      </c>
      <c r="D773" s="1">
        <v>0</v>
      </c>
    </row>
    <row r="774" spans="1:4" x14ac:dyDescent="0.25">
      <c r="A774" s="2">
        <v>38108</v>
      </c>
      <c r="B774" s="1" t="s">
        <v>6</v>
      </c>
      <c r="C774" s="1">
        <f>336.9*(1000)</f>
        <v>336900</v>
      </c>
      <c r="D774" s="1">
        <v>0</v>
      </c>
    </row>
    <row r="775" spans="1:4" x14ac:dyDescent="0.25">
      <c r="A775" s="2">
        <v>38139</v>
      </c>
      <c r="B775" s="1" t="s">
        <v>6</v>
      </c>
      <c r="C775" s="1">
        <f>337.8*(1000)</f>
        <v>337800</v>
      </c>
      <c r="D775" s="1">
        <v>0</v>
      </c>
    </row>
    <row r="776" spans="1:4" x14ac:dyDescent="0.25">
      <c r="A776" s="2">
        <v>38169</v>
      </c>
      <c r="B776" s="1" t="s">
        <v>6</v>
      </c>
      <c r="C776" s="1">
        <f>339.1*(1000)</f>
        <v>339100</v>
      </c>
      <c r="D776" s="1">
        <v>0</v>
      </c>
    </row>
    <row r="777" spans="1:4" x14ac:dyDescent="0.25">
      <c r="A777" s="2">
        <v>38200</v>
      </c>
      <c r="B777" s="1" t="s">
        <v>6</v>
      </c>
      <c r="C777" s="1">
        <f>339.6*(1000)</f>
        <v>339600</v>
      </c>
      <c r="D777" s="1">
        <v>0</v>
      </c>
    </row>
    <row r="778" spans="1:4" x14ac:dyDescent="0.25">
      <c r="A778" s="2">
        <v>38231</v>
      </c>
      <c r="B778" s="1" t="s">
        <v>6</v>
      </c>
      <c r="C778" s="1">
        <f>339.1*(1000)</f>
        <v>339100</v>
      </c>
      <c r="D778" s="1">
        <v>0</v>
      </c>
    </row>
    <row r="779" spans="1:4" x14ac:dyDescent="0.25">
      <c r="A779" s="2">
        <v>38261</v>
      </c>
      <c r="B779" s="1" t="s">
        <v>6</v>
      </c>
      <c r="C779" s="1">
        <f>340.8*(1000)</f>
        <v>340800</v>
      </c>
      <c r="D779" s="1">
        <v>0</v>
      </c>
    </row>
    <row r="780" spans="1:4" x14ac:dyDescent="0.25">
      <c r="A780" s="2">
        <v>38292</v>
      </c>
      <c r="B780" s="1" t="s">
        <v>6</v>
      </c>
      <c r="C780" s="1">
        <f>340.9*(1000)</f>
        <v>340900</v>
      </c>
      <c r="D780" s="1">
        <v>0</v>
      </c>
    </row>
    <row r="781" spans="1:4" x14ac:dyDescent="0.25">
      <c r="A781" s="2">
        <v>38322</v>
      </c>
      <c r="B781" s="1" t="s">
        <v>6</v>
      </c>
      <c r="C781" s="1">
        <f>340.7*(1000)</f>
        <v>340700</v>
      </c>
      <c r="D781" s="1">
        <v>0</v>
      </c>
    </row>
    <row r="782" spans="1:4" x14ac:dyDescent="0.25">
      <c r="A782" s="2">
        <v>38353</v>
      </c>
      <c r="B782" s="1" t="s">
        <v>6</v>
      </c>
      <c r="C782" s="1">
        <f>340.9*(1000)</f>
        <v>340900</v>
      </c>
      <c r="D782" s="1">
        <v>0</v>
      </c>
    </row>
    <row r="783" spans="1:4" x14ac:dyDescent="0.25">
      <c r="A783" s="2">
        <v>38384</v>
      </c>
      <c r="B783" s="1" t="s">
        <v>6</v>
      </c>
      <c r="C783" s="1">
        <f>342.3*(1000)</f>
        <v>342300</v>
      </c>
      <c r="D783" s="1">
        <v>0</v>
      </c>
    </row>
    <row r="784" spans="1:4" x14ac:dyDescent="0.25">
      <c r="A784" s="2">
        <v>38412</v>
      </c>
      <c r="B784" s="1" t="s">
        <v>6</v>
      </c>
      <c r="C784" s="1">
        <f>342.7*(1000)</f>
        <v>342700</v>
      </c>
      <c r="D784" s="1">
        <v>0</v>
      </c>
    </row>
    <row r="785" spans="1:4" x14ac:dyDescent="0.25">
      <c r="A785" s="2">
        <v>38443</v>
      </c>
      <c r="B785" s="1" t="s">
        <v>6</v>
      </c>
      <c r="C785" s="1">
        <f>344.5*(1000)</f>
        <v>344500</v>
      </c>
      <c r="D785" s="1">
        <v>0</v>
      </c>
    </row>
    <row r="786" spans="1:4" x14ac:dyDescent="0.25">
      <c r="A786" s="2">
        <v>38473</v>
      </c>
      <c r="B786" s="1" t="s">
        <v>6</v>
      </c>
      <c r="C786" s="1">
        <f>344.7*(1000)</f>
        <v>344700</v>
      </c>
      <c r="D786" s="1">
        <v>0</v>
      </c>
    </row>
    <row r="787" spans="1:4" x14ac:dyDescent="0.25">
      <c r="A787" s="2">
        <v>38504</v>
      </c>
      <c r="B787" s="1" t="s">
        <v>6</v>
      </c>
      <c r="C787" s="1">
        <f>344.4*(1000)</f>
        <v>344400</v>
      </c>
      <c r="D787" s="1">
        <v>0</v>
      </c>
    </row>
    <row r="788" spans="1:4" x14ac:dyDescent="0.25">
      <c r="A788" s="2">
        <v>38534</v>
      </c>
      <c r="B788" s="1" t="s">
        <v>6</v>
      </c>
      <c r="C788" s="1">
        <f>345.2*(1000)</f>
        <v>345200</v>
      </c>
      <c r="D788" s="1">
        <v>0</v>
      </c>
    </row>
    <row r="789" spans="1:4" x14ac:dyDescent="0.25">
      <c r="A789" s="2">
        <v>38565</v>
      </c>
      <c r="B789" s="1" t="s">
        <v>6</v>
      </c>
      <c r="C789" s="1">
        <f>346*(1000)</f>
        <v>346000</v>
      </c>
      <c r="D789" s="1">
        <v>0</v>
      </c>
    </row>
    <row r="790" spans="1:4" x14ac:dyDescent="0.25">
      <c r="A790" s="2">
        <v>38596</v>
      </c>
      <c r="B790" s="1" t="s">
        <v>6</v>
      </c>
      <c r="C790" s="1">
        <f>346.7*(1000)</f>
        <v>346700</v>
      </c>
      <c r="D790" s="1">
        <v>0</v>
      </c>
    </row>
    <row r="791" spans="1:4" x14ac:dyDescent="0.25">
      <c r="A791" s="2">
        <v>38626</v>
      </c>
      <c r="B791" s="1" t="s">
        <v>6</v>
      </c>
      <c r="C791" s="1">
        <f>345.4*(1000)</f>
        <v>345400</v>
      </c>
      <c r="D791" s="1">
        <v>0</v>
      </c>
    </row>
    <row r="792" spans="1:4" x14ac:dyDescent="0.25">
      <c r="A792" s="2">
        <v>38657</v>
      </c>
      <c r="B792" s="1" t="s">
        <v>6</v>
      </c>
      <c r="C792" s="1">
        <f>346.5*(1000)</f>
        <v>346500</v>
      </c>
      <c r="D792" s="1">
        <v>0</v>
      </c>
    </row>
    <row r="793" spans="1:4" x14ac:dyDescent="0.25">
      <c r="A793" s="2">
        <v>38687</v>
      </c>
      <c r="B793" s="1" t="s">
        <v>6</v>
      </c>
      <c r="C793" s="1">
        <f>347.4*(1000)</f>
        <v>347400</v>
      </c>
      <c r="D793" s="1">
        <v>0</v>
      </c>
    </row>
    <row r="794" spans="1:4" x14ac:dyDescent="0.25">
      <c r="A794" s="2">
        <v>38718</v>
      </c>
      <c r="B794" s="1" t="s">
        <v>6</v>
      </c>
      <c r="C794" s="1">
        <f>348.3*(1000)</f>
        <v>348300</v>
      </c>
      <c r="D794" s="1">
        <v>0</v>
      </c>
    </row>
    <row r="795" spans="1:4" x14ac:dyDescent="0.25">
      <c r="A795" s="2">
        <v>38749</v>
      </c>
      <c r="B795" s="1" t="s">
        <v>6</v>
      </c>
      <c r="C795" s="1">
        <f>349.9*(1000)</f>
        <v>349900</v>
      </c>
      <c r="D795" s="1">
        <v>0</v>
      </c>
    </row>
    <row r="796" spans="1:4" x14ac:dyDescent="0.25">
      <c r="A796" s="2">
        <v>38777</v>
      </c>
      <c r="B796" s="1" t="s">
        <v>6</v>
      </c>
      <c r="C796" s="1">
        <f>351.3*(1000)</f>
        <v>351300</v>
      </c>
      <c r="D796" s="1">
        <v>0</v>
      </c>
    </row>
    <row r="797" spans="1:4" x14ac:dyDescent="0.25">
      <c r="A797" s="2">
        <v>38808</v>
      </c>
      <c r="B797" s="1" t="s">
        <v>6</v>
      </c>
      <c r="C797" s="1">
        <f>352.2*(1000)</f>
        <v>352200</v>
      </c>
      <c r="D797" s="1">
        <v>0</v>
      </c>
    </row>
    <row r="798" spans="1:4" x14ac:dyDescent="0.25">
      <c r="A798" s="2">
        <v>38838</v>
      </c>
      <c r="B798" s="1" t="s">
        <v>6</v>
      </c>
      <c r="C798" s="1">
        <f>351.7*(1000)</f>
        <v>351700</v>
      </c>
      <c r="D798" s="1">
        <v>0</v>
      </c>
    </row>
    <row r="799" spans="1:4" x14ac:dyDescent="0.25">
      <c r="A799" s="2">
        <v>38869</v>
      </c>
      <c r="B799" s="1" t="s">
        <v>6</v>
      </c>
      <c r="C799" s="1">
        <f>352.1*(1000)</f>
        <v>352100</v>
      </c>
      <c r="D799" s="1">
        <v>0</v>
      </c>
    </row>
    <row r="800" spans="1:4" x14ac:dyDescent="0.25">
      <c r="A800" s="2">
        <v>38899</v>
      </c>
      <c r="B800" s="1" t="s">
        <v>6</v>
      </c>
      <c r="C800" s="1">
        <f>351.3*(1000)</f>
        <v>351300</v>
      </c>
      <c r="D800" s="1">
        <v>0</v>
      </c>
    </row>
    <row r="801" spans="1:4" x14ac:dyDescent="0.25">
      <c r="A801" s="2">
        <v>38930</v>
      </c>
      <c r="B801" s="1" t="s">
        <v>6</v>
      </c>
      <c r="C801" s="1">
        <f>352.9*(1000)</f>
        <v>352900</v>
      </c>
      <c r="D801" s="1">
        <v>0</v>
      </c>
    </row>
    <row r="802" spans="1:4" x14ac:dyDescent="0.25">
      <c r="A802" s="2">
        <v>38961</v>
      </c>
      <c r="B802" s="1" t="s">
        <v>6</v>
      </c>
      <c r="C802" s="1">
        <f>353.8*(1000)</f>
        <v>353800</v>
      </c>
      <c r="D802" s="1">
        <v>0</v>
      </c>
    </row>
    <row r="803" spans="1:4" x14ac:dyDescent="0.25">
      <c r="A803" s="2">
        <v>38991</v>
      </c>
      <c r="B803" s="1" t="s">
        <v>6</v>
      </c>
      <c r="C803" s="1">
        <f>353.3*(1000)</f>
        <v>353300</v>
      </c>
      <c r="D803" s="1">
        <v>0</v>
      </c>
    </row>
    <row r="804" spans="1:4" x14ac:dyDescent="0.25">
      <c r="A804" s="2">
        <v>39022</v>
      </c>
      <c r="B804" s="1" t="s">
        <v>6</v>
      </c>
      <c r="C804" s="1">
        <f>354.5*(1000)</f>
        <v>354500</v>
      </c>
      <c r="D804" s="1">
        <v>0</v>
      </c>
    </row>
    <row r="805" spans="1:4" x14ac:dyDescent="0.25">
      <c r="A805" s="2">
        <v>39052</v>
      </c>
      <c r="B805" s="1" t="s">
        <v>6</v>
      </c>
      <c r="C805" s="1">
        <f>356*(1000)</f>
        <v>356000</v>
      </c>
      <c r="D805" s="1">
        <v>0</v>
      </c>
    </row>
    <row r="806" spans="1:4" x14ac:dyDescent="0.25">
      <c r="A806" s="2">
        <v>39083</v>
      </c>
      <c r="B806" s="1" t="s">
        <v>6</v>
      </c>
      <c r="C806" s="1">
        <f>355.8*(1000)</f>
        <v>355800</v>
      </c>
      <c r="D806" s="1">
        <v>0</v>
      </c>
    </row>
    <row r="807" spans="1:4" x14ac:dyDescent="0.25">
      <c r="A807" s="2">
        <v>39114</v>
      </c>
      <c r="B807" s="1" t="s">
        <v>6</v>
      </c>
      <c r="C807" s="1">
        <f>355.6*(1000)</f>
        <v>355600</v>
      </c>
      <c r="D807" s="1">
        <v>0</v>
      </c>
    </row>
    <row r="808" spans="1:4" x14ac:dyDescent="0.25">
      <c r="A808" s="2">
        <v>39142</v>
      </c>
      <c r="B808" s="1" t="s">
        <v>6</v>
      </c>
      <c r="C808" s="1">
        <f>356.9*(1000)</f>
        <v>356900</v>
      </c>
      <c r="D808" s="1">
        <v>0</v>
      </c>
    </row>
    <row r="809" spans="1:4" x14ac:dyDescent="0.25">
      <c r="A809" s="2">
        <v>39173</v>
      </c>
      <c r="B809" s="1" t="s">
        <v>6</v>
      </c>
      <c r="C809" s="1">
        <f>356.6*(1000)</f>
        <v>356600</v>
      </c>
      <c r="D809" s="1">
        <v>0</v>
      </c>
    </row>
    <row r="810" spans="1:4" x14ac:dyDescent="0.25">
      <c r="A810" s="2">
        <v>39203</v>
      </c>
      <c r="B810" s="1" t="s">
        <v>6</v>
      </c>
      <c r="C810" s="1">
        <f>357.8*(1000)</f>
        <v>357800</v>
      </c>
      <c r="D810" s="1">
        <v>0</v>
      </c>
    </row>
    <row r="811" spans="1:4" x14ac:dyDescent="0.25">
      <c r="A811" s="2">
        <v>39234</v>
      </c>
      <c r="B811" s="1" t="s">
        <v>6</v>
      </c>
      <c r="C811" s="1">
        <f>358.2*(1000)</f>
        <v>358200</v>
      </c>
      <c r="D811" s="1">
        <v>0</v>
      </c>
    </row>
    <row r="812" spans="1:4" x14ac:dyDescent="0.25">
      <c r="A812" s="2">
        <v>39264</v>
      </c>
      <c r="B812" s="1" t="s">
        <v>6</v>
      </c>
      <c r="C812" s="1">
        <f>358.5*(1000)</f>
        <v>358500</v>
      </c>
      <c r="D812" s="1">
        <v>0</v>
      </c>
    </row>
    <row r="813" spans="1:4" x14ac:dyDescent="0.25">
      <c r="A813" s="2">
        <v>39295</v>
      </c>
      <c r="B813" s="1" t="s">
        <v>6</v>
      </c>
      <c r="C813" s="1">
        <f>358.4*(1000)</f>
        <v>358400</v>
      </c>
      <c r="D813" s="1">
        <v>0</v>
      </c>
    </row>
    <row r="814" spans="1:4" x14ac:dyDescent="0.25">
      <c r="A814" s="2">
        <v>39326</v>
      </c>
      <c r="B814" s="1" t="s">
        <v>6</v>
      </c>
      <c r="C814" s="1">
        <f>358.9*(1000)</f>
        <v>358900</v>
      </c>
      <c r="D814" s="1">
        <v>0</v>
      </c>
    </row>
    <row r="815" spans="1:4" x14ac:dyDescent="0.25">
      <c r="A815" s="2">
        <v>39356</v>
      </c>
      <c r="B815" s="1" t="s">
        <v>6</v>
      </c>
      <c r="C815" s="1">
        <f>360.3*(1000)</f>
        <v>360300</v>
      </c>
      <c r="D815" s="1">
        <v>0</v>
      </c>
    </row>
    <row r="816" spans="1:4" x14ac:dyDescent="0.25">
      <c r="A816" s="2">
        <v>39387</v>
      </c>
      <c r="B816" s="1" t="s">
        <v>6</v>
      </c>
      <c r="C816" s="1">
        <f>361.7*(1000)</f>
        <v>361700</v>
      </c>
      <c r="D816" s="1">
        <v>0</v>
      </c>
    </row>
    <row r="817" spans="1:4" x14ac:dyDescent="0.25">
      <c r="A817" s="2">
        <v>39417</v>
      </c>
      <c r="B817" s="1" t="s">
        <v>6</v>
      </c>
      <c r="C817" s="1">
        <f>362*(1000)</f>
        <v>362000</v>
      </c>
      <c r="D817" s="1">
        <v>0</v>
      </c>
    </row>
    <row r="818" spans="1:4" x14ac:dyDescent="0.25">
      <c r="A818" s="2">
        <v>39448</v>
      </c>
      <c r="B818" s="1" t="s">
        <v>6</v>
      </c>
      <c r="C818" s="1">
        <f>364.1*(1000)</f>
        <v>364100</v>
      </c>
      <c r="D818" s="1">
        <v>0</v>
      </c>
    </row>
    <row r="819" spans="1:4" x14ac:dyDescent="0.25">
      <c r="A819" s="2">
        <v>39479</v>
      </c>
      <c r="B819" s="1" t="s">
        <v>6</v>
      </c>
      <c r="C819" s="1">
        <f>365.5*(1000)</f>
        <v>365500</v>
      </c>
      <c r="D819" s="1">
        <v>0</v>
      </c>
    </row>
    <row r="820" spans="1:4" x14ac:dyDescent="0.25">
      <c r="A820" s="2">
        <v>39508</v>
      </c>
      <c r="B820" s="1" t="s">
        <v>6</v>
      </c>
      <c r="C820" s="1">
        <f>366.2*(1000)</f>
        <v>366200</v>
      </c>
      <c r="D820" s="1">
        <v>0</v>
      </c>
    </row>
    <row r="821" spans="1:4" x14ac:dyDescent="0.25">
      <c r="A821" s="2">
        <v>39539</v>
      </c>
      <c r="B821" s="1" t="s">
        <v>6</v>
      </c>
      <c r="C821" s="1">
        <f>366.3*(1000)</f>
        <v>366300</v>
      </c>
      <c r="D821" s="1">
        <v>0</v>
      </c>
    </row>
    <row r="822" spans="1:4" x14ac:dyDescent="0.25">
      <c r="A822" s="2">
        <v>39569</v>
      </c>
      <c r="B822" s="1" t="s">
        <v>6</v>
      </c>
      <c r="C822" s="1">
        <f>366.8*(1000)</f>
        <v>366800</v>
      </c>
      <c r="D822" s="1">
        <v>0</v>
      </c>
    </row>
    <row r="823" spans="1:4" x14ac:dyDescent="0.25">
      <c r="A823" s="2">
        <v>39600</v>
      </c>
      <c r="B823" s="1" t="s">
        <v>6</v>
      </c>
      <c r="C823" s="1">
        <f>366.7*(1000)</f>
        <v>366700</v>
      </c>
      <c r="D823" s="1">
        <v>0</v>
      </c>
    </row>
    <row r="824" spans="1:4" x14ac:dyDescent="0.25">
      <c r="A824" s="2">
        <v>39630</v>
      </c>
      <c r="B824" s="1" t="s">
        <v>6</v>
      </c>
      <c r="C824" s="1">
        <f>368.7*(1000)</f>
        <v>368700</v>
      </c>
      <c r="D824" s="1">
        <v>0</v>
      </c>
    </row>
    <row r="825" spans="1:4" x14ac:dyDescent="0.25">
      <c r="A825" s="2">
        <v>39661</v>
      </c>
      <c r="B825" s="1" t="s">
        <v>6</v>
      </c>
      <c r="C825" s="1">
        <f>367.8*(1000)</f>
        <v>367800</v>
      </c>
      <c r="D825" s="1">
        <v>0</v>
      </c>
    </row>
    <row r="826" spans="1:4" x14ac:dyDescent="0.25">
      <c r="A826" s="2">
        <v>39692</v>
      </c>
      <c r="B826" s="1" t="s">
        <v>6</v>
      </c>
      <c r="C826" s="1">
        <f>368.3*(1000)</f>
        <v>368300</v>
      </c>
      <c r="D826" s="1">
        <v>0</v>
      </c>
    </row>
    <row r="827" spans="1:4" x14ac:dyDescent="0.25">
      <c r="A827" s="2">
        <v>39722</v>
      </c>
      <c r="B827" s="1" t="s">
        <v>6</v>
      </c>
      <c r="C827" s="1">
        <f>368.3*(1000)</f>
        <v>368300</v>
      </c>
      <c r="D827" s="1">
        <v>0</v>
      </c>
    </row>
    <row r="828" spans="1:4" x14ac:dyDescent="0.25">
      <c r="A828" s="2">
        <v>39753</v>
      </c>
      <c r="B828" s="1" t="s">
        <v>6</v>
      </c>
      <c r="C828" s="1">
        <f>368.9*(1000)</f>
        <v>368900</v>
      </c>
      <c r="D828" s="1">
        <v>0</v>
      </c>
    </row>
    <row r="829" spans="1:4" x14ac:dyDescent="0.25">
      <c r="A829" s="2">
        <v>39783</v>
      </c>
      <c r="B829" s="1" t="s">
        <v>6</v>
      </c>
      <c r="C829" s="1">
        <f>368.1*(1000)</f>
        <v>368100</v>
      </c>
      <c r="D829" s="1">
        <v>0</v>
      </c>
    </row>
    <row r="830" spans="1:4" x14ac:dyDescent="0.25">
      <c r="A830" s="2">
        <v>39814</v>
      </c>
      <c r="B830" s="1" t="s">
        <v>6</v>
      </c>
      <c r="C830" s="1">
        <f>366.2*(1000)</f>
        <v>366200</v>
      </c>
      <c r="D830" s="1">
        <v>0</v>
      </c>
    </row>
    <row r="831" spans="1:4" x14ac:dyDescent="0.25">
      <c r="A831" s="2">
        <v>39845</v>
      </c>
      <c r="B831" s="1" t="s">
        <v>6</v>
      </c>
      <c r="C831" s="1">
        <f>366.4*(1000)</f>
        <v>366400</v>
      </c>
      <c r="D831" s="1">
        <v>0</v>
      </c>
    </row>
    <row r="832" spans="1:4" x14ac:dyDescent="0.25">
      <c r="A832" s="2">
        <v>39873</v>
      </c>
      <c r="B832" s="1" t="s">
        <v>6</v>
      </c>
      <c r="C832" s="1">
        <f>365.6*(1000)</f>
        <v>365600</v>
      </c>
      <c r="D832" s="1">
        <v>0</v>
      </c>
    </row>
    <row r="833" spans="1:4" x14ac:dyDescent="0.25">
      <c r="A833" s="2">
        <v>39904</v>
      </c>
      <c r="B833" s="1" t="s">
        <v>6</v>
      </c>
      <c r="C833" s="1">
        <f>362.8*(1000)</f>
        <v>362800</v>
      </c>
      <c r="D833" s="1">
        <v>0</v>
      </c>
    </row>
    <row r="834" spans="1:4" x14ac:dyDescent="0.25">
      <c r="A834" s="2">
        <v>39934</v>
      </c>
      <c r="B834" s="1" t="s">
        <v>6</v>
      </c>
      <c r="C834" s="1">
        <f>366.6*(1000)</f>
        <v>366600</v>
      </c>
      <c r="D834" s="1">
        <v>0</v>
      </c>
    </row>
    <row r="835" spans="1:4" x14ac:dyDescent="0.25">
      <c r="A835" s="2">
        <v>39965</v>
      </c>
      <c r="B835" s="1" t="s">
        <v>6</v>
      </c>
      <c r="C835" s="1">
        <f>367*(1000)</f>
        <v>367000</v>
      </c>
      <c r="D835" s="1">
        <v>0</v>
      </c>
    </row>
    <row r="836" spans="1:4" x14ac:dyDescent="0.25">
      <c r="A836" s="2">
        <v>39995</v>
      </c>
      <c r="B836" s="1" t="s">
        <v>6</v>
      </c>
      <c r="C836" s="1">
        <f>366.2*(1000)</f>
        <v>366200</v>
      </c>
      <c r="D836" s="1">
        <v>0</v>
      </c>
    </row>
    <row r="837" spans="1:4" x14ac:dyDescent="0.25">
      <c r="A837" s="2">
        <v>40026</v>
      </c>
      <c r="B837" s="1" t="s">
        <v>6</v>
      </c>
      <c r="C837" s="1">
        <f>366.1*(1000)</f>
        <v>366100</v>
      </c>
      <c r="D837" s="1">
        <v>0</v>
      </c>
    </row>
    <row r="838" spans="1:4" x14ac:dyDescent="0.25">
      <c r="A838" s="2">
        <v>40057</v>
      </c>
      <c r="B838" s="1" t="s">
        <v>6</v>
      </c>
      <c r="C838" s="1">
        <f>367.6*(1000)</f>
        <v>367600</v>
      </c>
      <c r="D838" s="1">
        <v>0</v>
      </c>
    </row>
    <row r="839" spans="1:4" x14ac:dyDescent="0.25">
      <c r="A839" s="2">
        <v>40087</v>
      </c>
      <c r="B839" s="1" t="s">
        <v>6</v>
      </c>
      <c r="C839" s="1">
        <f>367.8*(1000)</f>
        <v>367800</v>
      </c>
      <c r="D839" s="1">
        <v>0</v>
      </c>
    </row>
    <row r="840" spans="1:4" x14ac:dyDescent="0.25">
      <c r="A840" s="2">
        <v>40118</v>
      </c>
      <c r="B840" s="1" t="s">
        <v>6</v>
      </c>
      <c r="C840" s="1">
        <f>367.8*(1000)</f>
        <v>367800</v>
      </c>
      <c r="D840" s="1">
        <v>0</v>
      </c>
    </row>
    <row r="841" spans="1:4" x14ac:dyDescent="0.25">
      <c r="A841" s="2">
        <v>40148</v>
      </c>
      <c r="B841" s="1" t="s">
        <v>6</v>
      </c>
      <c r="C841" s="1">
        <f>368.3*(1000)</f>
        <v>368300</v>
      </c>
      <c r="D841" s="1">
        <v>0</v>
      </c>
    </row>
    <row r="842" spans="1:4" x14ac:dyDescent="0.25">
      <c r="A842" s="2">
        <v>40179</v>
      </c>
      <c r="B842" s="1" t="s">
        <v>6</v>
      </c>
      <c r="C842" s="1">
        <f>367.8*(1000)</f>
        <v>367800</v>
      </c>
      <c r="D842" s="1">
        <v>0</v>
      </c>
    </row>
    <row r="843" spans="1:4" x14ac:dyDescent="0.25">
      <c r="A843" s="2">
        <v>40210</v>
      </c>
      <c r="B843" s="1" t="s">
        <v>6</v>
      </c>
      <c r="C843" s="1">
        <f>369.5*(1000)</f>
        <v>369500</v>
      </c>
      <c r="D843" s="1">
        <v>0</v>
      </c>
    </row>
    <row r="844" spans="1:4" x14ac:dyDescent="0.25">
      <c r="A844" s="2">
        <v>40238</v>
      </c>
      <c r="B844" s="1" t="s">
        <v>6</v>
      </c>
      <c r="C844" s="1">
        <f>371.2*(1000)</f>
        <v>371200</v>
      </c>
      <c r="D844" s="1">
        <v>0</v>
      </c>
    </row>
    <row r="845" spans="1:4" x14ac:dyDescent="0.25">
      <c r="A845" s="2">
        <v>40269</v>
      </c>
      <c r="B845" s="1" t="s">
        <v>6</v>
      </c>
      <c r="C845" s="1">
        <f>374.4*(1000)</f>
        <v>374400</v>
      </c>
      <c r="D845" s="1">
        <v>0</v>
      </c>
    </row>
    <row r="846" spans="1:4" x14ac:dyDescent="0.25">
      <c r="A846" s="2">
        <v>40299</v>
      </c>
      <c r="B846" s="1" t="s">
        <v>6</v>
      </c>
      <c r="C846" s="1">
        <f>375*(1000)</f>
        <v>375000</v>
      </c>
      <c r="D846" s="1">
        <v>0</v>
      </c>
    </row>
    <row r="847" spans="1:4" x14ac:dyDescent="0.25">
      <c r="A847" s="2">
        <v>40330</v>
      </c>
      <c r="B847" s="1" t="s">
        <v>6</v>
      </c>
      <c r="C847" s="1">
        <f>374.5*(1000)</f>
        <v>374500</v>
      </c>
      <c r="D847" s="1">
        <v>0</v>
      </c>
    </row>
    <row r="848" spans="1:4" x14ac:dyDescent="0.25">
      <c r="A848" s="2">
        <v>40360</v>
      </c>
      <c r="B848" s="1" t="s">
        <v>6</v>
      </c>
      <c r="C848" s="1">
        <f>375.2*(1000)</f>
        <v>375200</v>
      </c>
      <c r="D848" s="1">
        <v>0</v>
      </c>
    </row>
    <row r="849" spans="1:4" x14ac:dyDescent="0.25">
      <c r="A849" s="2">
        <v>40391</v>
      </c>
      <c r="B849" s="1" t="s">
        <v>6</v>
      </c>
      <c r="C849" s="1">
        <f>376.6*(1000)</f>
        <v>376600</v>
      </c>
      <c r="D849" s="1">
        <v>0</v>
      </c>
    </row>
    <row r="850" spans="1:4" x14ac:dyDescent="0.25">
      <c r="A850" s="2">
        <v>40422</v>
      </c>
      <c r="B850" s="1" t="s">
        <v>6</v>
      </c>
      <c r="C850" s="1">
        <f>378*(1000)</f>
        <v>378000</v>
      </c>
      <c r="D850" s="1">
        <v>0</v>
      </c>
    </row>
    <row r="851" spans="1:4" x14ac:dyDescent="0.25">
      <c r="A851" s="2">
        <v>40452</v>
      </c>
      <c r="B851" s="1" t="s">
        <v>6</v>
      </c>
      <c r="C851" s="1">
        <f>381.6*(1000)</f>
        <v>381600</v>
      </c>
      <c r="D851" s="1">
        <v>0</v>
      </c>
    </row>
    <row r="852" spans="1:4" x14ac:dyDescent="0.25">
      <c r="A852" s="2">
        <v>40483</v>
      </c>
      <c r="B852" s="1" t="s">
        <v>6</v>
      </c>
      <c r="C852" s="1">
        <f>382.6*(1000)</f>
        <v>382600</v>
      </c>
      <c r="D852" s="1">
        <v>0</v>
      </c>
    </row>
    <row r="853" spans="1:4" x14ac:dyDescent="0.25">
      <c r="A853" s="2">
        <v>40513</v>
      </c>
      <c r="B853" s="1" t="s">
        <v>6</v>
      </c>
      <c r="C853" s="1">
        <f>384*(1000)</f>
        <v>384000</v>
      </c>
      <c r="D853" s="1">
        <v>0</v>
      </c>
    </row>
    <row r="854" spans="1:4" x14ac:dyDescent="0.25">
      <c r="A854" s="2">
        <v>40544</v>
      </c>
      <c r="B854" s="1" t="s">
        <v>6</v>
      </c>
      <c r="C854" s="1">
        <f>385.5*(1000)</f>
        <v>385500</v>
      </c>
      <c r="D854" s="1">
        <v>0</v>
      </c>
    </row>
    <row r="855" spans="1:4" x14ac:dyDescent="0.25">
      <c r="A855" s="2">
        <v>40575</v>
      </c>
      <c r="B855" s="1" t="s">
        <v>6</v>
      </c>
      <c r="C855" s="1">
        <f>386.3*(1000)</f>
        <v>386300</v>
      </c>
      <c r="D855" s="1">
        <v>0</v>
      </c>
    </row>
    <row r="856" spans="1:4" x14ac:dyDescent="0.25">
      <c r="A856" s="2">
        <v>40603</v>
      </c>
      <c r="B856" s="1" t="s">
        <v>6</v>
      </c>
      <c r="C856" s="1">
        <f>388.3*(1000)</f>
        <v>388300</v>
      </c>
      <c r="D856" s="1">
        <v>0</v>
      </c>
    </row>
    <row r="857" spans="1:4" x14ac:dyDescent="0.25">
      <c r="A857" s="2">
        <v>40634</v>
      </c>
      <c r="B857" s="1" t="s">
        <v>6</v>
      </c>
      <c r="C857" s="1">
        <f>389.3*(1000)</f>
        <v>389300</v>
      </c>
      <c r="D857" s="1">
        <v>0</v>
      </c>
    </row>
    <row r="858" spans="1:4" x14ac:dyDescent="0.25">
      <c r="A858" s="2">
        <v>40664</v>
      </c>
      <c r="B858" s="1" t="s">
        <v>6</v>
      </c>
      <c r="C858" s="1">
        <f>392*(1000)</f>
        <v>392000</v>
      </c>
      <c r="D858" s="1">
        <v>0</v>
      </c>
    </row>
    <row r="859" spans="1:4" x14ac:dyDescent="0.25">
      <c r="A859" s="2">
        <v>40695</v>
      </c>
      <c r="B859" s="1" t="s">
        <v>6</v>
      </c>
      <c r="C859" s="1">
        <f>392.7*(1000)</f>
        <v>392700</v>
      </c>
      <c r="D859" s="1">
        <v>0</v>
      </c>
    </row>
    <row r="860" spans="1:4" x14ac:dyDescent="0.25">
      <c r="A860" s="2">
        <v>40725</v>
      </c>
      <c r="B860" s="1" t="s">
        <v>6</v>
      </c>
      <c r="C860" s="1">
        <f>396.6*(1000)</f>
        <v>396600</v>
      </c>
      <c r="D860" s="1">
        <v>0</v>
      </c>
    </row>
    <row r="861" spans="1:4" x14ac:dyDescent="0.25">
      <c r="A861" s="2">
        <v>40756</v>
      </c>
      <c r="B861" s="1" t="s">
        <v>6</v>
      </c>
      <c r="C861" s="1">
        <f>398.5*(1000)</f>
        <v>398500</v>
      </c>
      <c r="D861" s="1">
        <v>0</v>
      </c>
    </row>
    <row r="862" spans="1:4" x14ac:dyDescent="0.25">
      <c r="A862" s="2">
        <v>40787</v>
      </c>
      <c r="B862" s="1" t="s">
        <v>6</v>
      </c>
      <c r="C862" s="1">
        <f>403*(1000)</f>
        <v>403000</v>
      </c>
      <c r="D862" s="1">
        <v>0</v>
      </c>
    </row>
    <row r="863" spans="1:4" x14ac:dyDescent="0.25">
      <c r="A863" s="2">
        <v>40817</v>
      </c>
      <c r="B863" s="1" t="s">
        <v>6</v>
      </c>
      <c r="C863" s="1">
        <f>405*(1000)</f>
        <v>405000</v>
      </c>
      <c r="D863" s="1">
        <v>0</v>
      </c>
    </row>
    <row r="864" spans="1:4" x14ac:dyDescent="0.25">
      <c r="A864" s="2">
        <v>40848</v>
      </c>
      <c r="B864" s="1" t="s">
        <v>6</v>
      </c>
      <c r="C864" s="1">
        <f>408.8*(1000)</f>
        <v>408800</v>
      </c>
      <c r="D864" s="1">
        <v>0</v>
      </c>
    </row>
    <row r="865" spans="1:4" x14ac:dyDescent="0.25">
      <c r="A865" s="2">
        <v>40878</v>
      </c>
      <c r="B865" s="1" t="s">
        <v>6</v>
      </c>
      <c r="C865" s="1">
        <f>412.3*(1000)</f>
        <v>412300</v>
      </c>
      <c r="D865" s="1">
        <v>0</v>
      </c>
    </row>
    <row r="866" spans="1:4" x14ac:dyDescent="0.25">
      <c r="A866" s="2">
        <v>40909</v>
      </c>
      <c r="B866" s="1" t="s">
        <v>6</v>
      </c>
      <c r="C866" s="1">
        <f>416.7*(1000)</f>
        <v>416700</v>
      </c>
      <c r="D866" s="1">
        <v>0</v>
      </c>
    </row>
    <row r="867" spans="1:4" x14ac:dyDescent="0.25">
      <c r="A867" s="2">
        <v>40940</v>
      </c>
      <c r="B867" s="1" t="s">
        <v>6</v>
      </c>
      <c r="C867" s="1">
        <f>419.6*(1000)</f>
        <v>419600</v>
      </c>
      <c r="D867" s="1">
        <v>0</v>
      </c>
    </row>
    <row r="868" spans="1:4" x14ac:dyDescent="0.25">
      <c r="A868" s="2">
        <v>40969</v>
      </c>
      <c r="B868" s="1" t="s">
        <v>6</v>
      </c>
      <c r="C868" s="1">
        <f>422.2*(1000)</f>
        <v>422200</v>
      </c>
      <c r="D868" s="1">
        <v>0</v>
      </c>
    </row>
    <row r="869" spans="1:4" x14ac:dyDescent="0.25">
      <c r="A869" s="2">
        <v>41000</v>
      </c>
      <c r="B869" s="1" t="s">
        <v>6</v>
      </c>
      <c r="C869" s="1">
        <f>425.9*(1000)</f>
        <v>425900</v>
      </c>
      <c r="D869" s="1">
        <v>0</v>
      </c>
    </row>
    <row r="870" spans="1:4" x14ac:dyDescent="0.25">
      <c r="A870" s="2">
        <v>41030</v>
      </c>
      <c r="B870" s="1" t="s">
        <v>6</v>
      </c>
      <c r="C870" s="1">
        <f>428*(1000)</f>
        <v>428000</v>
      </c>
      <c r="D870" s="1">
        <v>0</v>
      </c>
    </row>
    <row r="871" spans="1:4" x14ac:dyDescent="0.25">
      <c r="A871" s="2">
        <v>41061</v>
      </c>
      <c r="B871" s="1" t="s">
        <v>6</v>
      </c>
      <c r="C871" s="1">
        <f>430.5*(1000)</f>
        <v>430500</v>
      </c>
      <c r="D871" s="1">
        <v>0</v>
      </c>
    </row>
    <row r="872" spans="1:4" x14ac:dyDescent="0.25">
      <c r="A872" s="2">
        <v>41091</v>
      </c>
      <c r="B872" s="1" t="s">
        <v>6</v>
      </c>
      <c r="C872" s="1">
        <f>433.2*(1000)</f>
        <v>433200</v>
      </c>
      <c r="D872" s="1">
        <v>0</v>
      </c>
    </row>
    <row r="873" spans="1:4" x14ac:dyDescent="0.25">
      <c r="A873" s="2">
        <v>41122</v>
      </c>
      <c r="B873" s="1" t="s">
        <v>6</v>
      </c>
      <c r="C873" s="1">
        <f>433.9*(1000)</f>
        <v>433900</v>
      </c>
      <c r="D873" s="1">
        <v>0</v>
      </c>
    </row>
    <row r="874" spans="1:4" x14ac:dyDescent="0.25">
      <c r="A874" s="2">
        <v>41153</v>
      </c>
      <c r="B874" s="1" t="s">
        <v>6</v>
      </c>
      <c r="C874" s="1">
        <f>433.8*(1000)</f>
        <v>433800</v>
      </c>
      <c r="D874" s="1">
        <v>0</v>
      </c>
    </row>
    <row r="875" spans="1:4" x14ac:dyDescent="0.25">
      <c r="A875" s="2">
        <v>41183</v>
      </c>
      <c r="B875" s="1" t="s">
        <v>6</v>
      </c>
      <c r="C875" s="1">
        <f>434.7*(1000)</f>
        <v>434700</v>
      </c>
      <c r="D875" s="1">
        <v>0</v>
      </c>
    </row>
    <row r="876" spans="1:4" x14ac:dyDescent="0.25">
      <c r="A876" s="2">
        <v>41214</v>
      </c>
      <c r="B876" s="1" t="s">
        <v>6</v>
      </c>
      <c r="C876" s="1">
        <f>434.7*(1000)</f>
        <v>434700</v>
      </c>
      <c r="D876" s="1">
        <v>0</v>
      </c>
    </row>
    <row r="877" spans="1:4" x14ac:dyDescent="0.25">
      <c r="A877" s="2">
        <v>41244</v>
      </c>
      <c r="B877" s="1" t="s">
        <v>6</v>
      </c>
      <c r="C877" s="1">
        <f>435.5*(1000)</f>
        <v>435500</v>
      </c>
      <c r="D877" s="1">
        <v>0</v>
      </c>
    </row>
    <row r="878" spans="1:4" x14ac:dyDescent="0.25">
      <c r="A878" s="2">
        <v>41275</v>
      </c>
      <c r="B878" s="1" t="s">
        <v>6</v>
      </c>
      <c r="C878" s="1">
        <f>436.9*(1000)</f>
        <v>436900</v>
      </c>
      <c r="D878" s="1">
        <v>0</v>
      </c>
    </row>
    <row r="879" spans="1:4" x14ac:dyDescent="0.25">
      <c r="A879" s="2">
        <v>41306</v>
      </c>
      <c r="B879" s="1" t="s">
        <v>6</v>
      </c>
      <c r="C879" s="1">
        <f>439.4*(1000)</f>
        <v>439400</v>
      </c>
      <c r="D879" s="1">
        <v>0</v>
      </c>
    </row>
    <row r="880" spans="1:4" x14ac:dyDescent="0.25">
      <c r="A880" s="2">
        <v>41334</v>
      </c>
      <c r="B880" s="1" t="s">
        <v>6</v>
      </c>
      <c r="C880" s="1">
        <f>439.7*(1000)</f>
        <v>439700</v>
      </c>
      <c r="D880" s="1">
        <v>0</v>
      </c>
    </row>
    <row r="881" spans="1:4" x14ac:dyDescent="0.25">
      <c r="A881" s="2">
        <v>41365</v>
      </c>
      <c r="B881" s="1" t="s">
        <v>6</v>
      </c>
      <c r="C881" s="1">
        <f>438.1*(1000)</f>
        <v>438100</v>
      </c>
      <c r="D881" s="1">
        <v>0</v>
      </c>
    </row>
    <row r="882" spans="1:4" x14ac:dyDescent="0.25">
      <c r="A882" s="2">
        <v>41395</v>
      </c>
      <c r="B882" s="1" t="s">
        <v>6</v>
      </c>
      <c r="C882" s="1">
        <f>441.8*(1000)</f>
        <v>441800</v>
      </c>
      <c r="D882" s="1">
        <v>0</v>
      </c>
    </row>
    <row r="883" spans="1:4" x14ac:dyDescent="0.25">
      <c r="A883" s="2">
        <v>41426</v>
      </c>
      <c r="B883" s="1" t="s">
        <v>6</v>
      </c>
      <c r="C883" s="1">
        <f>443.1*(1000)</f>
        <v>443100</v>
      </c>
      <c r="D883" s="1">
        <v>0</v>
      </c>
    </row>
    <row r="884" spans="1:4" x14ac:dyDescent="0.25">
      <c r="A884" s="2">
        <v>41456</v>
      </c>
      <c r="B884" s="1" t="s">
        <v>6</v>
      </c>
      <c r="C884" s="1">
        <f>445.5*(1000)</f>
        <v>445500</v>
      </c>
      <c r="D884" s="1">
        <v>0</v>
      </c>
    </row>
    <row r="885" spans="1:4" x14ac:dyDescent="0.25">
      <c r="A885" s="2">
        <v>41487</v>
      </c>
      <c r="B885" s="1" t="s">
        <v>6</v>
      </c>
      <c r="C885" s="1">
        <f>447.1*(1000)</f>
        <v>447100</v>
      </c>
      <c r="D885" s="1">
        <v>0</v>
      </c>
    </row>
    <row r="886" spans="1:4" x14ac:dyDescent="0.25">
      <c r="A886" s="2">
        <v>41518</v>
      </c>
      <c r="B886" s="1" t="s">
        <v>6</v>
      </c>
      <c r="C886" s="1">
        <f>447.6*(1000)</f>
        <v>447600</v>
      </c>
      <c r="D886" s="1">
        <v>0</v>
      </c>
    </row>
    <row r="887" spans="1:4" x14ac:dyDescent="0.25">
      <c r="A887" s="2">
        <v>41548</v>
      </c>
      <c r="B887" s="1" t="s">
        <v>6</v>
      </c>
      <c r="C887" s="1">
        <f>449.2*(1000)</f>
        <v>449200</v>
      </c>
      <c r="D887" s="1">
        <v>0</v>
      </c>
    </row>
    <row r="888" spans="1:4" x14ac:dyDescent="0.25">
      <c r="A888" s="2">
        <v>41579</v>
      </c>
      <c r="B888" s="1" t="s">
        <v>6</v>
      </c>
      <c r="C888" s="1">
        <f>451.6*(1000)</f>
        <v>451600</v>
      </c>
      <c r="D888" s="1">
        <v>0</v>
      </c>
    </row>
    <row r="889" spans="1:4" x14ac:dyDescent="0.25">
      <c r="A889" s="2">
        <v>41609</v>
      </c>
      <c r="B889" s="1" t="s">
        <v>6</v>
      </c>
      <c r="C889" s="1">
        <f>451.7*(1000)</f>
        <v>451700</v>
      </c>
      <c r="D889" s="1">
        <v>0</v>
      </c>
    </row>
    <row r="890" spans="1:4" x14ac:dyDescent="0.25">
      <c r="A890" s="2">
        <v>41640</v>
      </c>
      <c r="B890" s="1" t="s">
        <v>6</v>
      </c>
      <c r="C890" s="1">
        <f>451.4*(1000)</f>
        <v>451400</v>
      </c>
      <c r="D890" s="1">
        <v>0</v>
      </c>
    </row>
    <row r="891" spans="1:4" x14ac:dyDescent="0.25">
      <c r="A891" s="2">
        <v>41671</v>
      </c>
      <c r="B891" s="1" t="s">
        <v>6</v>
      </c>
      <c r="C891" s="1">
        <f>457.2*(1000)</f>
        <v>457200</v>
      </c>
      <c r="D891" s="1">
        <v>0</v>
      </c>
    </row>
    <row r="892" spans="1:4" x14ac:dyDescent="0.25">
      <c r="A892" s="2">
        <v>41699</v>
      </c>
      <c r="B892" s="1" t="s">
        <v>6</v>
      </c>
      <c r="C892" s="1">
        <f>459.5*(1000)</f>
        <v>459500</v>
      </c>
      <c r="D892" s="1">
        <v>0</v>
      </c>
    </row>
    <row r="893" spans="1:4" x14ac:dyDescent="0.25">
      <c r="A893" s="2">
        <v>41730</v>
      </c>
      <c r="B893" s="1" t="s">
        <v>6</v>
      </c>
      <c r="C893" s="1">
        <f>461*(1000)</f>
        <v>461000</v>
      </c>
      <c r="D893" s="1">
        <v>0</v>
      </c>
    </row>
    <row r="894" spans="1:4" x14ac:dyDescent="0.25">
      <c r="A894" s="2">
        <v>41760</v>
      </c>
      <c r="B894" s="1" t="s">
        <v>6</v>
      </c>
      <c r="C894" s="1">
        <f>461.8*(1000)</f>
        <v>461800</v>
      </c>
      <c r="D894" s="1">
        <v>0</v>
      </c>
    </row>
    <row r="895" spans="1:4" x14ac:dyDescent="0.25">
      <c r="A895" s="2">
        <v>41791</v>
      </c>
      <c r="B895" s="1" t="s">
        <v>6</v>
      </c>
      <c r="C895" s="1">
        <f>465.2*(1000)</f>
        <v>465200</v>
      </c>
      <c r="D895" s="1">
        <v>0</v>
      </c>
    </row>
    <row r="896" spans="1:4" x14ac:dyDescent="0.25">
      <c r="A896" s="2">
        <v>41821</v>
      </c>
      <c r="B896" s="1" t="s">
        <v>6</v>
      </c>
      <c r="C896" s="1">
        <f>466*(1000)</f>
        <v>466000</v>
      </c>
      <c r="D896" s="1">
        <v>0</v>
      </c>
    </row>
    <row r="897" spans="1:4" x14ac:dyDescent="0.25">
      <c r="A897" s="2">
        <v>41852</v>
      </c>
      <c r="B897" s="1" t="s">
        <v>6</v>
      </c>
      <c r="C897" s="1">
        <f>467.1*(1000)</f>
        <v>467100</v>
      </c>
      <c r="D897" s="1">
        <v>0</v>
      </c>
    </row>
    <row r="898" spans="1:4" x14ac:dyDescent="0.25">
      <c r="A898" s="2">
        <v>41883</v>
      </c>
      <c r="B898" s="1" t="s">
        <v>6</v>
      </c>
      <c r="C898" s="1">
        <f>470.6*(1000)</f>
        <v>470600</v>
      </c>
      <c r="D898" s="1">
        <v>0</v>
      </c>
    </row>
    <row r="899" spans="1:4" x14ac:dyDescent="0.25">
      <c r="A899" s="2">
        <v>41913</v>
      </c>
      <c r="B899" s="1" t="s">
        <v>6</v>
      </c>
      <c r="C899" s="1">
        <f>471.2*(1000)</f>
        <v>471200</v>
      </c>
      <c r="D899" s="1">
        <v>0</v>
      </c>
    </row>
    <row r="900" spans="1:4" x14ac:dyDescent="0.25">
      <c r="A900" s="2">
        <v>41944</v>
      </c>
      <c r="B900" s="1" t="s">
        <v>6</v>
      </c>
      <c r="C900" s="1">
        <f>473.8*(1000)</f>
        <v>473800</v>
      </c>
      <c r="D900" s="1">
        <v>0</v>
      </c>
    </row>
    <row r="901" spans="1:4" x14ac:dyDescent="0.25">
      <c r="A901" s="2">
        <v>41974</v>
      </c>
      <c r="B901" s="1" t="s">
        <v>6</v>
      </c>
      <c r="C901" s="1">
        <f>476.2*(1000)</f>
        <v>476200</v>
      </c>
      <c r="D901" s="1">
        <v>0</v>
      </c>
    </row>
    <row r="902" spans="1:4" x14ac:dyDescent="0.25">
      <c r="A902" s="2">
        <v>36526</v>
      </c>
      <c r="B902" s="2" t="s">
        <v>7</v>
      </c>
      <c r="C902" s="1">
        <f>5653*(1000)</f>
        <v>5653000</v>
      </c>
      <c r="D902" s="1">
        <v>0</v>
      </c>
    </row>
    <row r="903" spans="1:4" x14ac:dyDescent="0.25">
      <c r="A903" s="2">
        <v>36557</v>
      </c>
      <c r="B903" s="2" t="s">
        <v>7</v>
      </c>
      <c r="C903" s="1">
        <f>5656.6*(1000)</f>
        <v>5656600</v>
      </c>
      <c r="D903" s="1">
        <v>0</v>
      </c>
    </row>
    <row r="904" spans="1:4" x14ac:dyDescent="0.25">
      <c r="A904" s="2">
        <v>36586</v>
      </c>
      <c r="B904" s="2" t="s">
        <v>7</v>
      </c>
      <c r="C904" s="1">
        <f>5678.8*(1000)</f>
        <v>5678800</v>
      </c>
      <c r="D904" s="1">
        <v>0</v>
      </c>
    </row>
    <row r="905" spans="1:4" x14ac:dyDescent="0.25">
      <c r="A905" s="2">
        <v>36617</v>
      </c>
      <c r="B905" s="2" t="s">
        <v>7</v>
      </c>
      <c r="C905" s="1">
        <f>5691.4*(1000)</f>
        <v>5691400</v>
      </c>
      <c r="D905" s="1">
        <v>0</v>
      </c>
    </row>
    <row r="906" spans="1:4" x14ac:dyDescent="0.25">
      <c r="A906" s="2">
        <v>36647</v>
      </c>
      <c r="B906" s="2" t="s">
        <v>7</v>
      </c>
      <c r="C906" s="1">
        <f>5696.3*(1000)</f>
        <v>5696300</v>
      </c>
      <c r="D906" s="1">
        <v>0</v>
      </c>
    </row>
    <row r="907" spans="1:4" x14ac:dyDescent="0.25">
      <c r="A907" s="2">
        <v>36678</v>
      </c>
      <c r="B907" s="2" t="s">
        <v>7</v>
      </c>
      <c r="C907" s="1">
        <f>5696.6*(1000)</f>
        <v>5696600</v>
      </c>
      <c r="D907" s="1">
        <v>0</v>
      </c>
    </row>
    <row r="908" spans="1:4" x14ac:dyDescent="0.25">
      <c r="A908" s="2">
        <v>36708</v>
      </c>
      <c r="B908" s="2" t="s">
        <v>7</v>
      </c>
      <c r="C908" s="1">
        <f>5712.4*(1000)</f>
        <v>5712400</v>
      </c>
      <c r="D908" s="1">
        <v>0</v>
      </c>
    </row>
    <row r="909" spans="1:4" x14ac:dyDescent="0.25">
      <c r="A909" s="2">
        <v>36739</v>
      </c>
      <c r="B909" s="2" t="s">
        <v>7</v>
      </c>
      <c r="C909" s="1">
        <f>5698.7*(1000)</f>
        <v>5698700</v>
      </c>
      <c r="D909" s="1">
        <v>0</v>
      </c>
    </row>
    <row r="910" spans="1:4" x14ac:dyDescent="0.25">
      <c r="A910" s="2">
        <v>36770</v>
      </c>
      <c r="B910" s="2" t="s">
        <v>7</v>
      </c>
      <c r="C910" s="1">
        <f>5712.7*(1000)</f>
        <v>5712700</v>
      </c>
      <c r="D910" s="1">
        <v>0</v>
      </c>
    </row>
    <row r="911" spans="1:4" x14ac:dyDescent="0.25">
      <c r="A911" s="2">
        <v>36800</v>
      </c>
      <c r="B911" s="2" t="s">
        <v>7</v>
      </c>
      <c r="C911" s="1">
        <f>5710.1*(1000)</f>
        <v>5710100</v>
      </c>
      <c r="D911" s="1">
        <v>0</v>
      </c>
    </row>
    <row r="912" spans="1:4" x14ac:dyDescent="0.25">
      <c r="A912" s="2">
        <v>36831</v>
      </c>
      <c r="B912" s="2" t="s">
        <v>7</v>
      </c>
      <c r="C912" s="1">
        <f>5714.1*(1000)</f>
        <v>5714100</v>
      </c>
      <c r="D912" s="1">
        <v>0</v>
      </c>
    </row>
    <row r="913" spans="1:4" x14ac:dyDescent="0.25">
      <c r="A913" s="2">
        <v>36861</v>
      </c>
      <c r="B913" s="2" t="s">
        <v>7</v>
      </c>
      <c r="C913" s="1">
        <f>5714*(1000)</f>
        <v>5714000</v>
      </c>
      <c r="D913" s="1">
        <v>0</v>
      </c>
    </row>
    <row r="914" spans="1:4" x14ac:dyDescent="0.25">
      <c r="A914" s="2">
        <v>36892</v>
      </c>
      <c r="B914" s="2" t="s">
        <v>7</v>
      </c>
      <c r="C914" s="1">
        <f>5718*(1000)</f>
        <v>5718000</v>
      </c>
      <c r="D914" s="1">
        <v>0</v>
      </c>
    </row>
    <row r="915" spans="1:4" x14ac:dyDescent="0.25">
      <c r="A915" s="2">
        <v>36923</v>
      </c>
      <c r="B915" s="2" t="s">
        <v>7</v>
      </c>
      <c r="C915" s="1">
        <f>5723.4*(1000)</f>
        <v>5723400</v>
      </c>
      <c r="D915" s="1">
        <v>0</v>
      </c>
    </row>
    <row r="916" spans="1:4" x14ac:dyDescent="0.25">
      <c r="A916" s="2">
        <v>36951</v>
      </c>
      <c r="B916" s="2" t="s">
        <v>7</v>
      </c>
      <c r="C916" s="1">
        <f>5718.1*(1000)</f>
        <v>5718100</v>
      </c>
      <c r="D916" s="1">
        <v>0</v>
      </c>
    </row>
    <row r="917" spans="1:4" x14ac:dyDescent="0.25">
      <c r="A917" s="2">
        <v>36982</v>
      </c>
      <c r="B917" s="2" t="s">
        <v>7</v>
      </c>
      <c r="C917" s="1">
        <f>5703.9*(1000)</f>
        <v>5703900</v>
      </c>
      <c r="D917" s="1">
        <v>0</v>
      </c>
    </row>
    <row r="918" spans="1:4" x14ac:dyDescent="0.25">
      <c r="A918" s="2">
        <v>37012</v>
      </c>
      <c r="B918" s="2" t="s">
        <v>7</v>
      </c>
      <c r="C918" s="1">
        <f>5695*(1000)</f>
        <v>5695000</v>
      </c>
      <c r="D918" s="1">
        <v>0</v>
      </c>
    </row>
    <row r="919" spans="1:4" x14ac:dyDescent="0.25">
      <c r="A919" s="2">
        <v>37043</v>
      </c>
      <c r="B919" s="2" t="s">
        <v>7</v>
      </c>
      <c r="C919" s="1">
        <f>5693.2*(1000)</f>
        <v>5693200</v>
      </c>
      <c r="D919" s="1">
        <v>0</v>
      </c>
    </row>
    <row r="920" spans="1:4" x14ac:dyDescent="0.25">
      <c r="A920" s="2">
        <v>37073</v>
      </c>
      <c r="B920" s="2" t="s">
        <v>7</v>
      </c>
      <c r="C920" s="1">
        <f>5678.7*(1000)</f>
        <v>5678700</v>
      </c>
      <c r="D920" s="1">
        <v>0</v>
      </c>
    </row>
    <row r="921" spans="1:4" x14ac:dyDescent="0.25">
      <c r="A921" s="2">
        <v>37104</v>
      </c>
      <c r="B921" s="2" t="s">
        <v>7</v>
      </c>
      <c r="C921" s="1">
        <f>5678.9*(1000)</f>
        <v>5678900</v>
      </c>
      <c r="D921" s="1">
        <v>0</v>
      </c>
    </row>
    <row r="922" spans="1:4" x14ac:dyDescent="0.25">
      <c r="A922" s="2">
        <v>37135</v>
      </c>
      <c r="B922" s="2" t="s">
        <v>7</v>
      </c>
      <c r="C922" s="1">
        <f>5670.5*(1000)</f>
        <v>5670500</v>
      </c>
      <c r="D922" s="1">
        <v>0</v>
      </c>
    </row>
    <row r="923" spans="1:4" x14ac:dyDescent="0.25">
      <c r="A923" s="2">
        <v>37165</v>
      </c>
      <c r="B923" s="2" t="s">
        <v>7</v>
      </c>
      <c r="C923" s="1">
        <f>5655.6*(1000)</f>
        <v>5655600</v>
      </c>
      <c r="D923" s="1">
        <v>0</v>
      </c>
    </row>
    <row r="924" spans="1:4" x14ac:dyDescent="0.25">
      <c r="A924" s="2">
        <v>37196</v>
      </c>
      <c r="B924" s="2" t="s">
        <v>7</v>
      </c>
      <c r="C924" s="1">
        <f>5650.5*(1000)</f>
        <v>5650500</v>
      </c>
      <c r="D924" s="1">
        <v>0</v>
      </c>
    </row>
    <row r="925" spans="1:4" x14ac:dyDescent="0.25">
      <c r="A925" s="2">
        <v>37226</v>
      </c>
      <c r="B925" s="2" t="s">
        <v>7</v>
      </c>
      <c r="C925" s="1">
        <f>5644.1*(1000)</f>
        <v>5644100</v>
      </c>
      <c r="D925" s="1">
        <v>0</v>
      </c>
    </row>
    <row r="926" spans="1:4" x14ac:dyDescent="0.25">
      <c r="A926" s="2">
        <v>37257</v>
      </c>
      <c r="B926" s="2" t="s">
        <v>7</v>
      </c>
      <c r="C926" s="1">
        <f>5654.8*(1000)</f>
        <v>5654800</v>
      </c>
      <c r="D926" s="1">
        <v>0</v>
      </c>
    </row>
    <row r="927" spans="1:4" x14ac:dyDescent="0.25">
      <c r="A927" s="2">
        <v>37288</v>
      </c>
      <c r="B927" s="2" t="s">
        <v>7</v>
      </c>
      <c r="C927" s="1">
        <f>5658.6*(1000)</f>
        <v>5658600</v>
      </c>
      <c r="D927" s="1">
        <v>0</v>
      </c>
    </row>
    <row r="928" spans="1:4" x14ac:dyDescent="0.25">
      <c r="A928" s="2">
        <v>37316</v>
      </c>
      <c r="B928" s="2" t="s">
        <v>7</v>
      </c>
      <c r="C928" s="1">
        <f>5655.9*(1000)</f>
        <v>5655900</v>
      </c>
      <c r="D928" s="1">
        <v>0</v>
      </c>
    </row>
    <row r="929" spans="1:4" x14ac:dyDescent="0.25">
      <c r="A929" s="2">
        <v>37347</v>
      </c>
      <c r="B929" s="2" t="s">
        <v>7</v>
      </c>
      <c r="C929" s="1">
        <f>5649*(1000)</f>
        <v>5649000</v>
      </c>
      <c r="D929" s="1">
        <v>0</v>
      </c>
    </row>
    <row r="930" spans="1:4" x14ac:dyDescent="0.25">
      <c r="A930" s="2">
        <v>37377</v>
      </c>
      <c r="B930" s="2" t="s">
        <v>7</v>
      </c>
      <c r="C930" s="1">
        <f>5648.8*(1000)</f>
        <v>5648800</v>
      </c>
      <c r="D930" s="1">
        <v>0</v>
      </c>
    </row>
    <row r="931" spans="1:4" x14ac:dyDescent="0.25">
      <c r="A931" s="2">
        <v>37408</v>
      </c>
      <c r="B931" s="2" t="s">
        <v>7</v>
      </c>
      <c r="C931" s="1">
        <f>5652.4*(1000)</f>
        <v>5652400</v>
      </c>
      <c r="D931" s="1">
        <v>0</v>
      </c>
    </row>
    <row r="932" spans="1:4" x14ac:dyDescent="0.25">
      <c r="A932" s="2">
        <v>37438</v>
      </c>
      <c r="B932" s="2" t="s">
        <v>7</v>
      </c>
      <c r="C932" s="1">
        <f>5641.3*(1000)</f>
        <v>5641300</v>
      </c>
      <c r="D932" s="1">
        <v>0</v>
      </c>
    </row>
    <row r="933" spans="1:4" x14ac:dyDescent="0.25">
      <c r="A933" s="2">
        <v>37469</v>
      </c>
      <c r="B933" s="2" t="s">
        <v>7</v>
      </c>
      <c r="C933" s="1">
        <f>5639.5*(1000)</f>
        <v>5639500</v>
      </c>
      <c r="D933" s="1">
        <v>0</v>
      </c>
    </row>
    <row r="934" spans="1:4" x14ac:dyDescent="0.25">
      <c r="A934" s="2">
        <v>37500</v>
      </c>
      <c r="B934" s="2" t="s">
        <v>7</v>
      </c>
      <c r="C934" s="1">
        <f>5641.3*(1000)</f>
        <v>5641300</v>
      </c>
      <c r="D934" s="1">
        <v>0</v>
      </c>
    </row>
    <row r="935" spans="1:4" x14ac:dyDescent="0.25">
      <c r="A935" s="2">
        <v>37530</v>
      </c>
      <c r="B935" s="2" t="s">
        <v>7</v>
      </c>
      <c r="C935" s="1">
        <f>5640.3*(1000)</f>
        <v>5640300</v>
      </c>
      <c r="D935" s="1">
        <v>0</v>
      </c>
    </row>
    <row r="936" spans="1:4" x14ac:dyDescent="0.25">
      <c r="A936" s="2">
        <v>37561</v>
      </c>
      <c r="B936" s="2" t="s">
        <v>7</v>
      </c>
      <c r="C936" s="1">
        <f>5634.4*(1000)</f>
        <v>5634400</v>
      </c>
      <c r="D936" s="1">
        <v>0</v>
      </c>
    </row>
    <row r="937" spans="1:4" x14ac:dyDescent="0.25">
      <c r="A937" s="2">
        <v>37591</v>
      </c>
      <c r="B937" s="2" t="s">
        <v>7</v>
      </c>
      <c r="C937" s="1">
        <f>5620.7*(1000)</f>
        <v>5620700</v>
      </c>
      <c r="D937" s="1">
        <v>0</v>
      </c>
    </row>
    <row r="938" spans="1:4" x14ac:dyDescent="0.25">
      <c r="A938" s="2">
        <v>37622</v>
      </c>
      <c r="B938" s="2" t="s">
        <v>7</v>
      </c>
      <c r="C938" s="1">
        <f>5627.3*(1000)</f>
        <v>5627300</v>
      </c>
      <c r="D938" s="1">
        <v>0</v>
      </c>
    </row>
    <row r="939" spans="1:4" x14ac:dyDescent="0.25">
      <c r="A939" s="2">
        <v>37653</v>
      </c>
      <c r="B939" s="2" t="s">
        <v>7</v>
      </c>
      <c r="C939" s="1">
        <f>5614.4*(1000)</f>
        <v>5614400</v>
      </c>
      <c r="D939" s="1">
        <v>0</v>
      </c>
    </row>
    <row r="940" spans="1:4" x14ac:dyDescent="0.25">
      <c r="A940" s="2">
        <v>37681</v>
      </c>
      <c r="B940" s="2" t="s">
        <v>7</v>
      </c>
      <c r="C940" s="1">
        <f>5613*(1000)</f>
        <v>5613000</v>
      </c>
      <c r="D940" s="1">
        <v>0</v>
      </c>
    </row>
    <row r="941" spans="1:4" x14ac:dyDescent="0.25">
      <c r="A941" s="2">
        <v>37712</v>
      </c>
      <c r="B941" s="2" t="s">
        <v>7</v>
      </c>
      <c r="C941" s="1">
        <f>5610.8*(1000)</f>
        <v>5610800</v>
      </c>
      <c r="D941" s="1">
        <v>0</v>
      </c>
    </row>
    <row r="942" spans="1:4" x14ac:dyDescent="0.25">
      <c r="A942" s="2">
        <v>37742</v>
      </c>
      <c r="B942" s="2" t="s">
        <v>7</v>
      </c>
      <c r="C942" s="1">
        <f>5615*(1000)</f>
        <v>5615000</v>
      </c>
      <c r="D942" s="1">
        <v>0</v>
      </c>
    </row>
    <row r="943" spans="1:4" x14ac:dyDescent="0.25">
      <c r="A943" s="2">
        <v>37773</v>
      </c>
      <c r="B943" s="2" t="s">
        <v>7</v>
      </c>
      <c r="C943" s="1">
        <f>5616.7*(1000)</f>
        <v>5616700</v>
      </c>
      <c r="D943" s="1">
        <v>0</v>
      </c>
    </row>
    <row r="944" spans="1:4" x14ac:dyDescent="0.25">
      <c r="A944" s="2">
        <v>37803</v>
      </c>
      <c r="B944" s="2" t="s">
        <v>7</v>
      </c>
      <c r="C944" s="1">
        <f>5602.6*(1000)</f>
        <v>5602600</v>
      </c>
      <c r="D944" s="1">
        <v>0</v>
      </c>
    </row>
    <row r="945" spans="1:4" x14ac:dyDescent="0.25">
      <c r="A945" s="2">
        <v>37834</v>
      </c>
      <c r="B945" s="2" t="s">
        <v>7</v>
      </c>
      <c r="C945" s="1">
        <f>5605.8*(1000)</f>
        <v>5605800</v>
      </c>
      <c r="D945" s="1">
        <v>0</v>
      </c>
    </row>
    <row r="946" spans="1:4" x14ac:dyDescent="0.25">
      <c r="A946" s="2">
        <v>37865</v>
      </c>
      <c r="B946" s="2" t="s">
        <v>7</v>
      </c>
      <c r="C946" s="1">
        <f>5608.9*(1000)</f>
        <v>5608900</v>
      </c>
      <c r="D946" s="1">
        <v>0</v>
      </c>
    </row>
    <row r="947" spans="1:4" x14ac:dyDescent="0.25">
      <c r="A947" s="2">
        <v>37895</v>
      </c>
      <c r="B947" s="2" t="s">
        <v>7</v>
      </c>
      <c r="C947" s="1">
        <f>5613.6*(1000)</f>
        <v>5613600</v>
      </c>
      <c r="D947" s="1">
        <v>0</v>
      </c>
    </row>
    <row r="948" spans="1:4" x14ac:dyDescent="0.25">
      <c r="A948" s="2">
        <v>37926</v>
      </c>
      <c r="B948" s="2" t="s">
        <v>7</v>
      </c>
      <c r="C948" s="1">
        <f>5619.2*(1000)</f>
        <v>5619200</v>
      </c>
      <c r="D948" s="1">
        <v>0</v>
      </c>
    </row>
    <row r="949" spans="1:4" x14ac:dyDescent="0.25">
      <c r="A949" s="2">
        <v>37956</v>
      </c>
      <c r="B949" s="2" t="s">
        <v>7</v>
      </c>
      <c r="C949" s="1">
        <f>5621.6*(1000)</f>
        <v>5621600</v>
      </c>
      <c r="D949" s="1">
        <v>0</v>
      </c>
    </row>
    <row r="950" spans="1:4" x14ac:dyDescent="0.25">
      <c r="A950" s="2">
        <v>37987</v>
      </c>
      <c r="B950" s="2" t="s">
        <v>7</v>
      </c>
      <c r="C950" s="1">
        <f>5612.4*(1000)</f>
        <v>5612400</v>
      </c>
      <c r="D950" s="1">
        <v>0</v>
      </c>
    </row>
    <row r="951" spans="1:4" x14ac:dyDescent="0.25">
      <c r="A951" s="2">
        <v>38018</v>
      </c>
      <c r="B951" s="2" t="s">
        <v>7</v>
      </c>
      <c r="C951" s="1">
        <f>5617.1*(1000)</f>
        <v>5617100</v>
      </c>
      <c r="D951" s="1">
        <v>0</v>
      </c>
    </row>
    <row r="952" spans="1:4" x14ac:dyDescent="0.25">
      <c r="A952" s="2">
        <v>38047</v>
      </c>
      <c r="B952" s="2" t="s">
        <v>7</v>
      </c>
      <c r="C952" s="1">
        <f>5628.5*(1000)</f>
        <v>5628500</v>
      </c>
      <c r="D952" s="1">
        <v>0</v>
      </c>
    </row>
    <row r="953" spans="1:4" x14ac:dyDescent="0.25">
      <c r="A953" s="2">
        <v>38078</v>
      </c>
      <c r="B953" s="2" t="s">
        <v>7</v>
      </c>
      <c r="C953" s="1">
        <f>5625.7*(1000)</f>
        <v>5625700</v>
      </c>
      <c r="D953" s="1">
        <v>0</v>
      </c>
    </row>
    <row r="954" spans="1:4" x14ac:dyDescent="0.25">
      <c r="A954" s="2">
        <v>38108</v>
      </c>
      <c r="B954" s="2" t="s">
        <v>7</v>
      </c>
      <c r="C954" s="1">
        <f>5637.1*(1000)</f>
        <v>5637100</v>
      </c>
      <c r="D954" s="1">
        <v>0</v>
      </c>
    </row>
    <row r="955" spans="1:4" x14ac:dyDescent="0.25">
      <c r="A955" s="2">
        <v>38139</v>
      </c>
      <c r="B955" s="2" t="s">
        <v>7</v>
      </c>
      <c r="C955" s="1">
        <f>5650.8*(1000)</f>
        <v>5650800</v>
      </c>
      <c r="D955" s="1">
        <v>0</v>
      </c>
    </row>
    <row r="956" spans="1:4" x14ac:dyDescent="0.25">
      <c r="A956" s="2">
        <v>38169</v>
      </c>
      <c r="B956" s="2" t="s">
        <v>7</v>
      </c>
      <c r="C956" s="1">
        <f>5646.1*(1000)</f>
        <v>5646100</v>
      </c>
      <c r="D956" s="1">
        <v>0</v>
      </c>
    </row>
    <row r="957" spans="1:4" x14ac:dyDescent="0.25">
      <c r="A957" s="2">
        <v>38200</v>
      </c>
      <c r="B957" s="2" t="s">
        <v>7</v>
      </c>
      <c r="C957" s="1">
        <f>5651.7*(1000)</f>
        <v>5651700</v>
      </c>
      <c r="D957" s="1">
        <v>0</v>
      </c>
    </row>
    <row r="958" spans="1:4" x14ac:dyDescent="0.25">
      <c r="A958" s="2">
        <v>38231</v>
      </c>
      <c r="B958" s="2" t="s">
        <v>7</v>
      </c>
      <c r="C958" s="1">
        <f>5658.3*(1000)</f>
        <v>5658300</v>
      </c>
      <c r="D958" s="1">
        <v>0</v>
      </c>
    </row>
    <row r="959" spans="1:4" x14ac:dyDescent="0.25">
      <c r="A959" s="2">
        <v>38261</v>
      </c>
      <c r="B959" s="2" t="s">
        <v>7</v>
      </c>
      <c r="C959" s="1">
        <f>5672.6*(1000)</f>
        <v>5672600</v>
      </c>
      <c r="D959" s="1">
        <v>0</v>
      </c>
    </row>
    <row r="960" spans="1:4" x14ac:dyDescent="0.25">
      <c r="A960" s="2">
        <v>38292</v>
      </c>
      <c r="B960" s="2" t="s">
        <v>7</v>
      </c>
      <c r="C960" s="1">
        <f>5674.1*(1000)</f>
        <v>5674100</v>
      </c>
      <c r="D960" s="1">
        <v>0</v>
      </c>
    </row>
    <row r="961" spans="1:4" x14ac:dyDescent="0.25">
      <c r="A961" s="2">
        <v>38322</v>
      </c>
      <c r="B961" s="2" t="s">
        <v>7</v>
      </c>
      <c r="C961" s="1">
        <f>5677.1*(1000)</f>
        <v>5677100</v>
      </c>
      <c r="D961" s="1">
        <v>0</v>
      </c>
    </row>
    <row r="962" spans="1:4" x14ac:dyDescent="0.25">
      <c r="A962" s="2">
        <v>38353</v>
      </c>
      <c r="B962" s="2" t="s">
        <v>7</v>
      </c>
      <c r="C962" s="1">
        <f>5677*(1000)</f>
        <v>5677000</v>
      </c>
      <c r="D962" s="1">
        <v>0</v>
      </c>
    </row>
    <row r="963" spans="1:4" x14ac:dyDescent="0.25">
      <c r="A963" s="2">
        <v>38384</v>
      </c>
      <c r="B963" s="2" t="s">
        <v>7</v>
      </c>
      <c r="C963" s="1">
        <f>5685.6*(1000)</f>
        <v>5685600</v>
      </c>
      <c r="D963" s="1">
        <v>0</v>
      </c>
    </row>
    <row r="964" spans="1:4" x14ac:dyDescent="0.25">
      <c r="A964" s="2">
        <v>38412</v>
      </c>
      <c r="B964" s="2" t="s">
        <v>7</v>
      </c>
      <c r="C964" s="1">
        <f>5677.6*(1000)</f>
        <v>5677600</v>
      </c>
      <c r="D964" s="1">
        <v>0</v>
      </c>
    </row>
    <row r="965" spans="1:4" x14ac:dyDescent="0.25">
      <c r="A965" s="2">
        <v>38443</v>
      </c>
      <c r="B965" s="2" t="s">
        <v>7</v>
      </c>
      <c r="C965" s="1">
        <f>5699.1*(1000)</f>
        <v>5699100</v>
      </c>
      <c r="D965" s="1">
        <v>0</v>
      </c>
    </row>
    <row r="966" spans="1:4" x14ac:dyDescent="0.25">
      <c r="A966" s="2">
        <v>38473</v>
      </c>
      <c r="B966" s="2" t="s">
        <v>7</v>
      </c>
      <c r="C966" s="1">
        <f>5701*(1000)</f>
        <v>5701000</v>
      </c>
      <c r="D966" s="1">
        <v>0</v>
      </c>
    </row>
    <row r="967" spans="1:4" x14ac:dyDescent="0.25">
      <c r="A967" s="2">
        <v>38504</v>
      </c>
      <c r="B967" s="2" t="s">
        <v>7</v>
      </c>
      <c r="C967" s="1">
        <f>5701*(1000)</f>
        <v>5701000</v>
      </c>
      <c r="D967" s="1">
        <v>0</v>
      </c>
    </row>
    <row r="968" spans="1:4" x14ac:dyDescent="0.25">
      <c r="A968" s="2">
        <v>38534</v>
      </c>
      <c r="B968" s="2" t="s">
        <v>7</v>
      </c>
      <c r="C968" s="1">
        <f>5716.3*(1000)</f>
        <v>5716300</v>
      </c>
      <c r="D968" s="1">
        <v>0</v>
      </c>
    </row>
    <row r="969" spans="1:4" x14ac:dyDescent="0.25">
      <c r="A969" s="2">
        <v>38565</v>
      </c>
      <c r="B969" s="2" t="s">
        <v>7</v>
      </c>
      <c r="C969" s="1">
        <f>5715.5*(1000)</f>
        <v>5715500</v>
      </c>
      <c r="D969" s="1">
        <v>0</v>
      </c>
    </row>
    <row r="970" spans="1:4" x14ac:dyDescent="0.25">
      <c r="A970" s="2">
        <v>38596</v>
      </c>
      <c r="B970" s="2" t="s">
        <v>7</v>
      </c>
      <c r="C970" s="1">
        <f>5720.9*(1000)</f>
        <v>5720900</v>
      </c>
      <c r="D970" s="1">
        <v>0</v>
      </c>
    </row>
    <row r="971" spans="1:4" x14ac:dyDescent="0.25">
      <c r="A971" s="2">
        <v>38626</v>
      </c>
      <c r="B971" s="2" t="s">
        <v>7</v>
      </c>
      <c r="C971" s="1">
        <f>5716.2*(1000)</f>
        <v>5716200</v>
      </c>
      <c r="D971" s="1">
        <v>0</v>
      </c>
    </row>
    <row r="972" spans="1:4" x14ac:dyDescent="0.25">
      <c r="A972" s="2">
        <v>38657</v>
      </c>
      <c r="B972" s="2" t="s">
        <v>7</v>
      </c>
      <c r="C972" s="1">
        <f>5722*(1000)</f>
        <v>5722000</v>
      </c>
      <c r="D972" s="1">
        <v>0</v>
      </c>
    </row>
    <row r="973" spans="1:4" x14ac:dyDescent="0.25">
      <c r="A973" s="2">
        <v>38687</v>
      </c>
      <c r="B973" s="2" t="s">
        <v>7</v>
      </c>
      <c r="C973" s="1">
        <f>5719.4*(1000)</f>
        <v>5719400</v>
      </c>
      <c r="D973" s="1">
        <v>0</v>
      </c>
    </row>
    <row r="974" spans="1:4" x14ac:dyDescent="0.25">
      <c r="A974" s="2">
        <v>38718</v>
      </c>
      <c r="B974" s="2" t="s">
        <v>7</v>
      </c>
      <c r="C974" s="1">
        <f>5732.2*(1000)</f>
        <v>5732200</v>
      </c>
      <c r="D974" s="1">
        <v>0</v>
      </c>
    </row>
    <row r="975" spans="1:4" x14ac:dyDescent="0.25">
      <c r="A975" s="2">
        <v>38749</v>
      </c>
      <c r="B975" s="2" t="s">
        <v>7</v>
      </c>
      <c r="C975" s="1">
        <f>5744.8*(1000)</f>
        <v>5744800</v>
      </c>
      <c r="D975" s="1">
        <v>0</v>
      </c>
    </row>
    <row r="976" spans="1:4" x14ac:dyDescent="0.25">
      <c r="A976" s="2">
        <v>38777</v>
      </c>
      <c r="B976" s="2" t="s">
        <v>7</v>
      </c>
      <c r="C976" s="1">
        <f>5752.4*(1000)</f>
        <v>5752400</v>
      </c>
      <c r="D976" s="1">
        <v>0</v>
      </c>
    </row>
    <row r="977" spans="1:4" x14ac:dyDescent="0.25">
      <c r="A977" s="2">
        <v>38808</v>
      </c>
      <c r="B977" s="2" t="s">
        <v>7</v>
      </c>
      <c r="C977" s="1">
        <f>5760.1*(1000)</f>
        <v>5760100</v>
      </c>
      <c r="D977" s="1">
        <v>0</v>
      </c>
    </row>
    <row r="978" spans="1:4" x14ac:dyDescent="0.25">
      <c r="A978" s="2">
        <v>38838</v>
      </c>
      <c r="B978" s="2" t="s">
        <v>7</v>
      </c>
      <c r="C978" s="1">
        <f>5756*(1000)</f>
        <v>5756000</v>
      </c>
      <c r="D978" s="1">
        <v>0</v>
      </c>
    </row>
    <row r="979" spans="1:4" x14ac:dyDescent="0.25">
      <c r="A979" s="2">
        <v>38869</v>
      </c>
      <c r="B979" s="2" t="s">
        <v>7</v>
      </c>
      <c r="C979" s="1">
        <f>5754.5*(1000)</f>
        <v>5754500</v>
      </c>
      <c r="D979" s="1">
        <v>0</v>
      </c>
    </row>
    <row r="980" spans="1:4" x14ac:dyDescent="0.25">
      <c r="A980" s="2">
        <v>38899</v>
      </c>
      <c r="B980" s="2" t="s">
        <v>7</v>
      </c>
      <c r="C980" s="1">
        <f>5755.7*(1000)</f>
        <v>5755700</v>
      </c>
      <c r="D980" s="1">
        <v>0</v>
      </c>
    </row>
    <row r="981" spans="1:4" x14ac:dyDescent="0.25">
      <c r="A981" s="2">
        <v>38930</v>
      </c>
      <c r="B981" s="2" t="s">
        <v>7</v>
      </c>
      <c r="C981" s="1">
        <f>5761.7*(1000)</f>
        <v>5761700</v>
      </c>
      <c r="D981" s="1">
        <v>0</v>
      </c>
    </row>
    <row r="982" spans="1:4" x14ac:dyDescent="0.25">
      <c r="A982" s="2">
        <v>38961</v>
      </c>
      <c r="B982" s="2" t="s">
        <v>7</v>
      </c>
      <c r="C982" s="1">
        <f>5766.3*(1000)</f>
        <v>5766300</v>
      </c>
      <c r="D982" s="1">
        <v>0</v>
      </c>
    </row>
    <row r="983" spans="1:4" x14ac:dyDescent="0.25">
      <c r="A983" s="2">
        <v>38991</v>
      </c>
      <c r="B983" s="2" t="s">
        <v>7</v>
      </c>
      <c r="C983" s="1">
        <f>5771.3*(1000)</f>
        <v>5771300</v>
      </c>
      <c r="D983" s="1">
        <v>0</v>
      </c>
    </row>
    <row r="984" spans="1:4" x14ac:dyDescent="0.25">
      <c r="A984" s="2">
        <v>39022</v>
      </c>
      <c r="B984" s="2" t="s">
        <v>7</v>
      </c>
      <c r="C984" s="1">
        <f>5773.7*(1000)</f>
        <v>5773700</v>
      </c>
      <c r="D984" s="1">
        <v>0</v>
      </c>
    </row>
    <row r="985" spans="1:4" x14ac:dyDescent="0.25">
      <c r="A985" s="2">
        <v>39052</v>
      </c>
      <c r="B985" s="2" t="s">
        <v>7</v>
      </c>
      <c r="C985" s="1">
        <f>5782.9*(1000)</f>
        <v>5782900</v>
      </c>
      <c r="D985" s="1">
        <v>0</v>
      </c>
    </row>
    <row r="986" spans="1:4" x14ac:dyDescent="0.25">
      <c r="A986" s="2">
        <v>39083</v>
      </c>
      <c r="B986" s="2" t="s">
        <v>7</v>
      </c>
      <c r="C986" s="1">
        <f>5788.7*(1000)</f>
        <v>5788700</v>
      </c>
      <c r="D986" s="1">
        <v>0</v>
      </c>
    </row>
    <row r="987" spans="1:4" x14ac:dyDescent="0.25">
      <c r="A987" s="2">
        <v>39114</v>
      </c>
      <c r="B987" s="2" t="s">
        <v>7</v>
      </c>
      <c r="C987" s="1">
        <f>5777.8*(1000)</f>
        <v>5777800</v>
      </c>
      <c r="D987" s="1">
        <v>0</v>
      </c>
    </row>
    <row r="988" spans="1:4" x14ac:dyDescent="0.25">
      <c r="A988" s="2">
        <v>39142</v>
      </c>
      <c r="B988" s="2" t="s">
        <v>7</v>
      </c>
      <c r="C988" s="1">
        <f>5794.3*(1000)</f>
        <v>5794300</v>
      </c>
      <c r="D988" s="1">
        <v>0</v>
      </c>
    </row>
    <row r="989" spans="1:4" x14ac:dyDescent="0.25">
      <c r="A989" s="2">
        <v>39173</v>
      </c>
      <c r="B989" s="2" t="s">
        <v>7</v>
      </c>
      <c r="C989" s="1">
        <f>5791.3*(1000)</f>
        <v>5791300</v>
      </c>
      <c r="D989" s="1">
        <v>0</v>
      </c>
    </row>
    <row r="990" spans="1:4" x14ac:dyDescent="0.25">
      <c r="A990" s="2">
        <v>39203</v>
      </c>
      <c r="B990" s="2" t="s">
        <v>7</v>
      </c>
      <c r="C990" s="1">
        <f>5799.1*(1000)</f>
        <v>5799100</v>
      </c>
      <c r="D990" s="1">
        <v>0</v>
      </c>
    </row>
    <row r="991" spans="1:4" x14ac:dyDescent="0.25">
      <c r="A991" s="2">
        <v>39234</v>
      </c>
      <c r="B991" s="2" t="s">
        <v>7</v>
      </c>
      <c r="C991" s="1">
        <f>5809.5*(1000)</f>
        <v>5809500</v>
      </c>
      <c r="D991" s="1">
        <v>0</v>
      </c>
    </row>
    <row r="992" spans="1:4" x14ac:dyDescent="0.25">
      <c r="A992" s="2">
        <v>39264</v>
      </c>
      <c r="B992" s="2" t="s">
        <v>7</v>
      </c>
      <c r="C992" s="1">
        <f>5809.2*(1000)</f>
        <v>5809200</v>
      </c>
      <c r="D992" s="1">
        <v>0</v>
      </c>
    </row>
    <row r="993" spans="1:4" x14ac:dyDescent="0.25">
      <c r="A993" s="2">
        <v>39295</v>
      </c>
      <c r="B993" s="2" t="s">
        <v>7</v>
      </c>
      <c r="C993" s="1">
        <f>5805.3*(1000)</f>
        <v>5805300</v>
      </c>
      <c r="D993" s="1">
        <v>0</v>
      </c>
    </row>
    <row r="994" spans="1:4" x14ac:dyDescent="0.25">
      <c r="A994" s="2">
        <v>39326</v>
      </c>
      <c r="B994" s="2" t="s">
        <v>7</v>
      </c>
      <c r="C994" s="1">
        <f>5798.4*(1000)</f>
        <v>5798400</v>
      </c>
      <c r="D994" s="1">
        <v>0</v>
      </c>
    </row>
    <row r="995" spans="1:4" x14ac:dyDescent="0.25">
      <c r="A995" s="2">
        <v>39356</v>
      </c>
      <c r="B995" s="2" t="s">
        <v>7</v>
      </c>
      <c r="C995" s="1">
        <f>5810.1*(1000)</f>
        <v>5810100</v>
      </c>
      <c r="D995" s="1">
        <v>0</v>
      </c>
    </row>
    <row r="996" spans="1:4" x14ac:dyDescent="0.25">
      <c r="A996" s="2">
        <v>39387</v>
      </c>
      <c r="B996" s="2" t="s">
        <v>7</v>
      </c>
      <c r="C996" s="1">
        <f>5814*(1000)</f>
        <v>5814000</v>
      </c>
      <c r="D996" s="1">
        <v>0</v>
      </c>
    </row>
    <row r="997" spans="1:4" x14ac:dyDescent="0.25">
      <c r="A997" s="2">
        <v>39417</v>
      </c>
      <c r="B997" s="2" t="s">
        <v>7</v>
      </c>
      <c r="C997" s="1">
        <f>5812.9*(1000)</f>
        <v>5812900</v>
      </c>
      <c r="D997" s="1">
        <v>0</v>
      </c>
    </row>
    <row r="998" spans="1:4" x14ac:dyDescent="0.25">
      <c r="A998" s="2">
        <v>39448</v>
      </c>
      <c r="B998" s="2" t="s">
        <v>7</v>
      </c>
      <c r="C998" s="1">
        <f>5822.2*(1000)</f>
        <v>5822200</v>
      </c>
      <c r="D998" s="1">
        <v>0</v>
      </c>
    </row>
    <row r="999" spans="1:4" x14ac:dyDescent="0.25">
      <c r="A999" s="2">
        <v>39479</v>
      </c>
      <c r="B999" s="2" t="s">
        <v>7</v>
      </c>
      <c r="C999" s="1">
        <f>5819.2*(1000)</f>
        <v>5819200</v>
      </c>
      <c r="D999" s="1">
        <v>0</v>
      </c>
    </row>
    <row r="1000" spans="1:4" x14ac:dyDescent="0.25">
      <c r="A1000" s="2">
        <v>39508</v>
      </c>
      <c r="B1000" s="2" t="s">
        <v>7</v>
      </c>
      <c r="C1000" s="1">
        <f>5813.4*(1000)</f>
        <v>5813400</v>
      </c>
      <c r="D1000" s="1">
        <v>0</v>
      </c>
    </row>
    <row r="1001" spans="1:4" x14ac:dyDescent="0.25">
      <c r="A1001" s="2">
        <v>39539</v>
      </c>
      <c r="B1001" s="2" t="s">
        <v>7</v>
      </c>
      <c r="C1001" s="1">
        <f>5824.3*(1000)</f>
        <v>5824300</v>
      </c>
      <c r="D1001" s="1">
        <v>0</v>
      </c>
    </row>
    <row r="1002" spans="1:4" x14ac:dyDescent="0.25">
      <c r="A1002" s="2">
        <v>39569</v>
      </c>
      <c r="B1002" s="2" t="s">
        <v>7</v>
      </c>
      <c r="C1002" s="1">
        <f>5820.7*(1000)</f>
        <v>5820700</v>
      </c>
      <c r="D1002" s="1">
        <v>0</v>
      </c>
    </row>
    <row r="1003" spans="1:4" x14ac:dyDescent="0.25">
      <c r="A1003" s="2">
        <v>39600</v>
      </c>
      <c r="B1003" s="2" t="s">
        <v>7</v>
      </c>
      <c r="C1003" s="1">
        <f>5817*(1000)</f>
        <v>5817000</v>
      </c>
      <c r="D1003" s="1">
        <v>0</v>
      </c>
    </row>
    <row r="1004" spans="1:4" x14ac:dyDescent="0.25">
      <c r="A1004" s="2">
        <v>39630</v>
      </c>
      <c r="B1004" s="2" t="s">
        <v>7</v>
      </c>
      <c r="C1004" s="1">
        <f>5809.6*(1000)</f>
        <v>5809600</v>
      </c>
      <c r="D1004" s="1">
        <v>0</v>
      </c>
    </row>
    <row r="1005" spans="1:4" x14ac:dyDescent="0.25">
      <c r="A1005" s="2">
        <v>39661</v>
      </c>
      <c r="B1005" s="2" t="s">
        <v>7</v>
      </c>
      <c r="C1005" s="1">
        <f>5808.7*(1000)</f>
        <v>5808700</v>
      </c>
      <c r="D1005" s="1">
        <v>0</v>
      </c>
    </row>
    <row r="1006" spans="1:4" x14ac:dyDescent="0.25">
      <c r="A1006" s="2">
        <v>39692</v>
      </c>
      <c r="B1006" s="2" t="s">
        <v>7</v>
      </c>
      <c r="C1006" s="1">
        <f>5801.7*(1000)</f>
        <v>5801700</v>
      </c>
      <c r="D1006" s="1">
        <v>0</v>
      </c>
    </row>
    <row r="1007" spans="1:4" x14ac:dyDescent="0.25">
      <c r="A1007" s="2">
        <v>39722</v>
      </c>
      <c r="B1007" s="2" t="s">
        <v>7</v>
      </c>
      <c r="C1007" s="1">
        <f>5782.6*(1000)</f>
        <v>5782600</v>
      </c>
      <c r="D1007" s="1">
        <v>0</v>
      </c>
    </row>
    <row r="1008" spans="1:4" x14ac:dyDescent="0.25">
      <c r="A1008" s="2">
        <v>39753</v>
      </c>
      <c r="B1008" s="2" t="s">
        <v>7</v>
      </c>
      <c r="C1008" s="1">
        <f>5758.7*(1000)</f>
        <v>5758700</v>
      </c>
      <c r="D1008" s="1">
        <v>0</v>
      </c>
    </row>
    <row r="1009" spans="1:4" x14ac:dyDescent="0.25">
      <c r="A1009" s="2">
        <v>39783</v>
      </c>
      <c r="B1009" s="2" t="s">
        <v>7</v>
      </c>
      <c r="C1009" s="1">
        <f>5741.8*(1000)</f>
        <v>5741800</v>
      </c>
      <c r="D1009" s="1">
        <v>0</v>
      </c>
    </row>
    <row r="1010" spans="1:4" x14ac:dyDescent="0.25">
      <c r="A1010" s="2">
        <v>39814</v>
      </c>
      <c r="B1010" s="2" t="s">
        <v>7</v>
      </c>
      <c r="C1010" s="1">
        <f>5709.9*(1000)</f>
        <v>5709900</v>
      </c>
      <c r="D1010" s="1">
        <v>0</v>
      </c>
    </row>
    <row r="1011" spans="1:4" x14ac:dyDescent="0.25">
      <c r="A1011" s="2">
        <v>39845</v>
      </c>
      <c r="B1011" s="2" t="s">
        <v>7</v>
      </c>
      <c r="C1011" s="1">
        <f>5689.7*(1000)</f>
        <v>5689700</v>
      </c>
      <c r="D1011" s="1">
        <v>0</v>
      </c>
    </row>
    <row r="1012" spans="1:4" x14ac:dyDescent="0.25">
      <c r="A1012" s="2">
        <v>39873</v>
      </c>
      <c r="B1012" s="2" t="s">
        <v>7</v>
      </c>
      <c r="C1012" s="1">
        <f>5654.6*(1000)</f>
        <v>5654600</v>
      </c>
      <c r="D1012" s="1">
        <v>0</v>
      </c>
    </row>
    <row r="1013" spans="1:4" x14ac:dyDescent="0.25">
      <c r="A1013" s="2">
        <v>39904</v>
      </c>
      <c r="B1013" s="2" t="s">
        <v>7</v>
      </c>
      <c r="C1013" s="1">
        <f>5626.1*(1000)</f>
        <v>5626100</v>
      </c>
      <c r="D1013" s="1">
        <v>0</v>
      </c>
    </row>
    <row r="1014" spans="1:4" x14ac:dyDescent="0.25">
      <c r="A1014" s="2">
        <v>39934</v>
      </c>
      <c r="B1014" s="2" t="s">
        <v>7</v>
      </c>
      <c r="C1014" s="1">
        <f>5621.3*(1000)</f>
        <v>5621300</v>
      </c>
      <c r="D1014" s="1">
        <v>0</v>
      </c>
    </row>
    <row r="1015" spans="1:4" x14ac:dyDescent="0.25">
      <c r="A1015" s="2">
        <v>39965</v>
      </c>
      <c r="B1015" s="2" t="s">
        <v>7</v>
      </c>
      <c r="C1015" s="1">
        <f>5606.2*(1000)</f>
        <v>5606200</v>
      </c>
      <c r="D1015" s="1">
        <v>0</v>
      </c>
    </row>
    <row r="1016" spans="1:4" x14ac:dyDescent="0.25">
      <c r="A1016" s="2">
        <v>39995</v>
      </c>
      <c r="B1016" s="2" t="s">
        <v>7</v>
      </c>
      <c r="C1016" s="1">
        <f>5591.5*(1000)</f>
        <v>5591500</v>
      </c>
      <c r="D1016" s="1">
        <v>0</v>
      </c>
    </row>
    <row r="1017" spans="1:4" x14ac:dyDescent="0.25">
      <c r="A1017" s="2">
        <v>40026</v>
      </c>
      <c r="B1017" s="2" t="s">
        <v>7</v>
      </c>
      <c r="C1017" s="1">
        <f>5583.9*(1000)</f>
        <v>5583900</v>
      </c>
      <c r="D1017" s="1">
        <v>0</v>
      </c>
    </row>
    <row r="1018" spans="1:4" x14ac:dyDescent="0.25">
      <c r="A1018" s="2">
        <v>40057</v>
      </c>
      <c r="B1018" s="2" t="s">
        <v>7</v>
      </c>
      <c r="C1018" s="1">
        <f>5581*(1000)</f>
        <v>5581000</v>
      </c>
      <c r="D1018" s="1">
        <v>0</v>
      </c>
    </row>
    <row r="1019" spans="1:4" x14ac:dyDescent="0.25">
      <c r="A1019" s="2">
        <v>40087</v>
      </c>
      <c r="B1019" s="2" t="s">
        <v>7</v>
      </c>
      <c r="C1019" s="1">
        <f>5580.9*(1000)</f>
        <v>5580900</v>
      </c>
      <c r="D1019" s="1">
        <v>0</v>
      </c>
    </row>
    <row r="1020" spans="1:4" x14ac:dyDescent="0.25">
      <c r="A1020" s="2">
        <v>40118</v>
      </c>
      <c r="B1020" s="2" t="s">
        <v>7</v>
      </c>
      <c r="C1020" s="1">
        <f>5585*(1000)</f>
        <v>5585000</v>
      </c>
      <c r="D1020" s="1">
        <v>0</v>
      </c>
    </row>
    <row r="1021" spans="1:4" x14ac:dyDescent="0.25">
      <c r="A1021" s="2">
        <v>40148</v>
      </c>
      <c r="B1021" s="2" t="s">
        <v>7</v>
      </c>
      <c r="C1021" s="1">
        <f>5580.5*(1000)</f>
        <v>5580500</v>
      </c>
      <c r="D1021" s="1">
        <v>0</v>
      </c>
    </row>
    <row r="1022" spans="1:4" x14ac:dyDescent="0.25">
      <c r="A1022" s="2">
        <v>40179</v>
      </c>
      <c r="B1022" s="2" t="s">
        <v>7</v>
      </c>
      <c r="C1022" s="1">
        <f>5579.4*(1000)</f>
        <v>5579400</v>
      </c>
      <c r="D1022" s="1">
        <v>0</v>
      </c>
    </row>
    <row r="1023" spans="1:4" x14ac:dyDescent="0.25">
      <c r="A1023" s="2">
        <v>40210</v>
      </c>
      <c r="B1023" s="2" t="s">
        <v>7</v>
      </c>
      <c r="C1023" s="1">
        <f>5564.3*(1000)</f>
        <v>5564300</v>
      </c>
      <c r="D1023" s="1">
        <v>0</v>
      </c>
    </row>
    <row r="1024" spans="1:4" x14ac:dyDescent="0.25">
      <c r="A1024" s="2">
        <v>40238</v>
      </c>
      <c r="B1024" s="2" t="s">
        <v>7</v>
      </c>
      <c r="C1024" s="1">
        <f>5587.2*(1000)</f>
        <v>5587200</v>
      </c>
      <c r="D1024" s="1">
        <v>0</v>
      </c>
    </row>
    <row r="1025" spans="1:4" x14ac:dyDescent="0.25">
      <c r="A1025" s="2">
        <v>40269</v>
      </c>
      <c r="B1025" s="2" t="s">
        <v>7</v>
      </c>
      <c r="C1025" s="1">
        <f>5611.3*(1000)</f>
        <v>5611300</v>
      </c>
      <c r="D1025" s="1">
        <v>0</v>
      </c>
    </row>
    <row r="1026" spans="1:4" x14ac:dyDescent="0.25">
      <c r="A1026" s="2">
        <v>40299</v>
      </c>
      <c r="B1026" s="2" t="s">
        <v>7</v>
      </c>
      <c r="C1026" s="1">
        <f>5637.6*(1000)</f>
        <v>5637600</v>
      </c>
      <c r="D1026" s="1">
        <v>0</v>
      </c>
    </row>
    <row r="1027" spans="1:4" x14ac:dyDescent="0.25">
      <c r="A1027" s="2">
        <v>40330</v>
      </c>
      <c r="B1027" s="2" t="s">
        <v>7</v>
      </c>
      <c r="C1027" s="1">
        <f>5638.1*(1000)</f>
        <v>5638100</v>
      </c>
      <c r="D1027" s="1">
        <v>0</v>
      </c>
    </row>
    <row r="1028" spans="1:4" x14ac:dyDescent="0.25">
      <c r="A1028" s="2">
        <v>40360</v>
      </c>
      <c r="B1028" s="2" t="s">
        <v>7</v>
      </c>
      <c r="C1028" s="1">
        <f>5629.6*(1000)</f>
        <v>5629600</v>
      </c>
      <c r="D1028" s="1">
        <v>0</v>
      </c>
    </row>
    <row r="1029" spans="1:4" x14ac:dyDescent="0.25">
      <c r="A1029" s="2">
        <v>40391</v>
      </c>
      <c r="B1029" s="2" t="s">
        <v>7</v>
      </c>
      <c r="C1029" s="1">
        <f>5635.9*(1000)</f>
        <v>5635900</v>
      </c>
      <c r="D1029" s="1">
        <v>0</v>
      </c>
    </row>
    <row r="1030" spans="1:4" x14ac:dyDescent="0.25">
      <c r="A1030" s="2">
        <v>40422</v>
      </c>
      <c r="B1030" s="2" t="s">
        <v>7</v>
      </c>
      <c r="C1030" s="1">
        <f>5631.4*(1000)</f>
        <v>5631400</v>
      </c>
      <c r="D1030" s="1">
        <v>0</v>
      </c>
    </row>
    <row r="1031" spans="1:4" x14ac:dyDescent="0.25">
      <c r="A1031" s="2">
        <v>40452</v>
      </c>
      <c r="B1031" s="2" t="s">
        <v>7</v>
      </c>
      <c r="C1031" s="1">
        <f>5649.8*(1000)</f>
        <v>5649800</v>
      </c>
      <c r="D1031" s="1">
        <v>0</v>
      </c>
    </row>
    <row r="1032" spans="1:4" x14ac:dyDescent="0.25">
      <c r="A1032" s="2">
        <v>40483</v>
      </c>
      <c r="B1032" s="2" t="s">
        <v>7</v>
      </c>
      <c r="C1032" s="1">
        <f>5655.4*(1000)</f>
        <v>5655400</v>
      </c>
      <c r="D1032" s="1">
        <v>0</v>
      </c>
    </row>
    <row r="1033" spans="1:4" x14ac:dyDescent="0.25">
      <c r="A1033" s="2">
        <v>40513</v>
      </c>
      <c r="B1033" s="2" t="s">
        <v>7</v>
      </c>
      <c r="C1033" s="1">
        <f>5659.5*(1000)</f>
        <v>5659500</v>
      </c>
      <c r="D1033" s="1">
        <v>0</v>
      </c>
    </row>
    <row r="1034" spans="1:4" x14ac:dyDescent="0.25">
      <c r="A1034" s="2">
        <v>40544</v>
      </c>
      <c r="B1034" s="2" t="s">
        <v>7</v>
      </c>
      <c r="C1034" s="1">
        <f>5664.9*(1000)</f>
        <v>5664900</v>
      </c>
      <c r="D1034" s="1">
        <v>0</v>
      </c>
    </row>
    <row r="1035" spans="1:4" x14ac:dyDescent="0.25">
      <c r="A1035" s="2">
        <v>40575</v>
      </c>
      <c r="B1035" s="2" t="s">
        <v>7</v>
      </c>
      <c r="C1035" s="1">
        <f>5668.1*(1000)</f>
        <v>5668100</v>
      </c>
      <c r="D1035" s="1">
        <v>0</v>
      </c>
    </row>
    <row r="1036" spans="1:4" x14ac:dyDescent="0.25">
      <c r="A1036" s="2">
        <v>40603</v>
      </c>
      <c r="B1036" s="2" t="s">
        <v>7</v>
      </c>
      <c r="C1036" s="1">
        <f>5675*(1000)</f>
        <v>5675000</v>
      </c>
      <c r="D1036" s="1">
        <v>0</v>
      </c>
    </row>
    <row r="1037" spans="1:4" x14ac:dyDescent="0.25">
      <c r="A1037" s="2">
        <v>40634</v>
      </c>
      <c r="B1037" s="2" t="s">
        <v>7</v>
      </c>
      <c r="C1037" s="1">
        <f>5687.2*(1000)</f>
        <v>5687200</v>
      </c>
      <c r="D1037" s="1">
        <v>0</v>
      </c>
    </row>
    <row r="1038" spans="1:4" x14ac:dyDescent="0.25">
      <c r="A1038" s="2">
        <v>40664</v>
      </c>
      <c r="B1038" s="2" t="s">
        <v>7</v>
      </c>
      <c r="C1038" s="1">
        <f>5689.9*(1000)</f>
        <v>5689900</v>
      </c>
      <c r="D1038" s="1">
        <v>0</v>
      </c>
    </row>
    <row r="1039" spans="1:4" x14ac:dyDescent="0.25">
      <c r="A1039" s="2">
        <v>40695</v>
      </c>
      <c r="B1039" s="2" t="s">
        <v>7</v>
      </c>
      <c r="C1039" s="1">
        <f>5689.2*(1000)</f>
        <v>5689200</v>
      </c>
      <c r="D1039" s="1">
        <v>0</v>
      </c>
    </row>
    <row r="1040" spans="1:4" x14ac:dyDescent="0.25">
      <c r="A1040" s="2">
        <v>40725</v>
      </c>
      <c r="B1040" s="2" t="s">
        <v>7</v>
      </c>
      <c r="C1040" s="1">
        <f>5685.1*(1000)</f>
        <v>5685100</v>
      </c>
      <c r="D1040" s="1">
        <v>0</v>
      </c>
    </row>
    <row r="1041" spans="1:4" x14ac:dyDescent="0.25">
      <c r="A1041" s="2">
        <v>40756</v>
      </c>
      <c r="B1041" s="2" t="s">
        <v>7</v>
      </c>
      <c r="C1041" s="1">
        <f>5683.4*(1000)</f>
        <v>5683400</v>
      </c>
      <c r="D1041" s="1">
        <v>0</v>
      </c>
    </row>
    <row r="1042" spans="1:4" x14ac:dyDescent="0.25">
      <c r="A1042" s="2">
        <v>40787</v>
      </c>
      <c r="B1042" s="2" t="s">
        <v>7</v>
      </c>
      <c r="C1042" s="1">
        <f>5693.4*(1000)</f>
        <v>5693400</v>
      </c>
      <c r="D1042" s="1">
        <v>0</v>
      </c>
    </row>
    <row r="1043" spans="1:4" x14ac:dyDescent="0.25">
      <c r="A1043" s="2">
        <v>40817</v>
      </c>
      <c r="B1043" s="2" t="s">
        <v>7</v>
      </c>
      <c r="C1043" s="1">
        <f>5695.5*(1000)</f>
        <v>5695500</v>
      </c>
      <c r="D1043" s="1">
        <v>0</v>
      </c>
    </row>
    <row r="1044" spans="1:4" x14ac:dyDescent="0.25">
      <c r="A1044" s="2">
        <v>40848</v>
      </c>
      <c r="B1044" s="2" t="s">
        <v>7</v>
      </c>
      <c r="C1044" s="1">
        <f>5705.6*(1000)</f>
        <v>5705600</v>
      </c>
      <c r="D1044" s="1">
        <v>0</v>
      </c>
    </row>
    <row r="1045" spans="1:4" x14ac:dyDescent="0.25">
      <c r="A1045" s="2">
        <v>40878</v>
      </c>
      <c r="B1045" s="2" t="s">
        <v>7</v>
      </c>
      <c r="C1045" s="1">
        <f>5706.4*(1000)</f>
        <v>5706400</v>
      </c>
      <c r="D1045" s="1">
        <v>0</v>
      </c>
    </row>
    <row r="1046" spans="1:4" x14ac:dyDescent="0.25">
      <c r="A1046" s="2">
        <v>40909</v>
      </c>
      <c r="B1046" s="2" t="s">
        <v>7</v>
      </c>
      <c r="C1046" s="1">
        <f>5711.2*(1000)</f>
        <v>5711200</v>
      </c>
      <c r="D1046" s="1">
        <v>0</v>
      </c>
    </row>
    <row r="1047" spans="1:4" x14ac:dyDescent="0.25">
      <c r="A1047" s="2">
        <v>40940</v>
      </c>
      <c r="B1047" s="2" t="s">
        <v>7</v>
      </c>
      <c r="C1047" s="1">
        <f>5726.2*(1000)</f>
        <v>5726200</v>
      </c>
      <c r="D1047" s="1">
        <v>0</v>
      </c>
    </row>
    <row r="1048" spans="1:4" x14ac:dyDescent="0.25">
      <c r="A1048" s="2">
        <v>40969</v>
      </c>
      <c r="B1048" s="2" t="s">
        <v>7</v>
      </c>
      <c r="C1048" s="1">
        <f>5743.9*(1000)</f>
        <v>5743900</v>
      </c>
      <c r="D1048" s="1">
        <v>0</v>
      </c>
    </row>
    <row r="1049" spans="1:4" x14ac:dyDescent="0.25">
      <c r="A1049" s="2">
        <v>41000</v>
      </c>
      <c r="B1049" s="2" t="s">
        <v>7</v>
      </c>
      <c r="C1049" s="1">
        <f>5731.7*(1000)</f>
        <v>5731700</v>
      </c>
      <c r="D1049" s="1">
        <v>0</v>
      </c>
    </row>
    <row r="1050" spans="1:4" x14ac:dyDescent="0.25">
      <c r="A1050" s="2">
        <v>41030</v>
      </c>
      <c r="B1050" s="2" t="s">
        <v>7</v>
      </c>
      <c r="C1050" s="1">
        <f>5734*(1000)</f>
        <v>5734000</v>
      </c>
      <c r="D1050" s="1">
        <v>0</v>
      </c>
    </row>
    <row r="1051" spans="1:4" x14ac:dyDescent="0.25">
      <c r="A1051" s="2">
        <v>41061</v>
      </c>
      <c r="B1051" s="2" t="s">
        <v>7</v>
      </c>
      <c r="C1051" s="1">
        <f>5717.9*(1000)</f>
        <v>5717900</v>
      </c>
      <c r="D1051" s="1">
        <v>0</v>
      </c>
    </row>
    <row r="1052" spans="1:4" x14ac:dyDescent="0.25">
      <c r="A1052" s="2">
        <v>41091</v>
      </c>
      <c r="B1052" s="2" t="s">
        <v>7</v>
      </c>
      <c r="C1052" s="1">
        <f>5718.8*(1000)</f>
        <v>5718800</v>
      </c>
      <c r="D1052" s="1">
        <v>0</v>
      </c>
    </row>
    <row r="1053" spans="1:4" x14ac:dyDescent="0.25">
      <c r="A1053" s="2">
        <v>41122</v>
      </c>
      <c r="B1053" s="2" t="s">
        <v>7</v>
      </c>
      <c r="C1053" s="1">
        <f>5720.6*(1000)</f>
        <v>5720600</v>
      </c>
      <c r="D1053" s="1">
        <v>0</v>
      </c>
    </row>
    <row r="1054" spans="1:4" x14ac:dyDescent="0.25">
      <c r="A1054" s="2">
        <v>41153</v>
      </c>
      <c r="B1054" s="2" t="s">
        <v>7</v>
      </c>
      <c r="C1054" s="1">
        <f>5729.6*(1000)</f>
        <v>5729600</v>
      </c>
      <c r="D1054" s="1">
        <v>0</v>
      </c>
    </row>
    <row r="1055" spans="1:4" x14ac:dyDescent="0.25">
      <c r="A1055" s="2">
        <v>41183</v>
      </c>
      <c r="B1055" s="2" t="s">
        <v>7</v>
      </c>
      <c r="C1055" s="1">
        <f>5728.3*(1000)</f>
        <v>5728300</v>
      </c>
      <c r="D1055" s="1">
        <v>0</v>
      </c>
    </row>
    <row r="1056" spans="1:4" x14ac:dyDescent="0.25">
      <c r="A1056" s="2">
        <v>41214</v>
      </c>
      <c r="B1056" s="2" t="s">
        <v>7</v>
      </c>
      <c r="C1056" s="1">
        <f>5731.6*(1000)</f>
        <v>5731600</v>
      </c>
      <c r="D1056" s="1">
        <v>0</v>
      </c>
    </row>
    <row r="1057" spans="1:4" x14ac:dyDescent="0.25">
      <c r="A1057" s="2">
        <v>41244</v>
      </c>
      <c r="B1057" s="2" t="s">
        <v>7</v>
      </c>
      <c r="C1057" s="1">
        <f>5728.7*(1000)</f>
        <v>5728700</v>
      </c>
      <c r="D1057" s="1">
        <v>0</v>
      </c>
    </row>
    <row r="1058" spans="1:4" x14ac:dyDescent="0.25">
      <c r="A1058" s="2">
        <v>41275</v>
      </c>
      <c r="B1058" s="2" t="s">
        <v>7</v>
      </c>
      <c r="C1058" s="1">
        <f>5730.2*(1000)</f>
        <v>5730200</v>
      </c>
      <c r="D1058" s="1">
        <v>0</v>
      </c>
    </row>
    <row r="1059" spans="1:4" x14ac:dyDescent="0.25">
      <c r="A1059" s="2">
        <v>41306</v>
      </c>
      <c r="B1059" s="2" t="s">
        <v>7</v>
      </c>
      <c r="C1059" s="1">
        <f>5741.4*(1000)</f>
        <v>5741400</v>
      </c>
      <c r="D1059" s="1">
        <v>0</v>
      </c>
    </row>
    <row r="1060" spans="1:4" x14ac:dyDescent="0.25">
      <c r="A1060" s="2">
        <v>41334</v>
      </c>
      <c r="B1060" s="2" t="s">
        <v>7</v>
      </c>
      <c r="C1060" s="1">
        <f>5741.7*(1000)</f>
        <v>5741700</v>
      </c>
      <c r="D1060" s="1">
        <v>0</v>
      </c>
    </row>
    <row r="1061" spans="1:4" x14ac:dyDescent="0.25">
      <c r="A1061" s="2">
        <v>41365</v>
      </c>
      <c r="B1061" s="2" t="s">
        <v>7</v>
      </c>
      <c r="C1061" s="1">
        <f>5734.4*(1000)</f>
        <v>5734400</v>
      </c>
      <c r="D1061" s="1">
        <v>0</v>
      </c>
    </row>
    <row r="1062" spans="1:4" x14ac:dyDescent="0.25">
      <c r="A1062" s="2">
        <v>41395</v>
      </c>
      <c r="B1062" s="2" t="s">
        <v>7</v>
      </c>
      <c r="C1062" s="1">
        <f>5732.5*(1000)</f>
        <v>5732500</v>
      </c>
      <c r="D1062" s="1">
        <v>0</v>
      </c>
    </row>
    <row r="1063" spans="1:4" x14ac:dyDescent="0.25">
      <c r="A1063" s="2">
        <v>41426</v>
      </c>
      <c r="B1063" s="2" t="s">
        <v>7</v>
      </c>
      <c r="C1063" s="1">
        <f>5733*(1000)</f>
        <v>5733000</v>
      </c>
      <c r="D1063" s="1">
        <v>0</v>
      </c>
    </row>
    <row r="1064" spans="1:4" x14ac:dyDescent="0.25">
      <c r="A1064" s="2">
        <v>41456</v>
      </c>
      <c r="B1064" s="2" t="s">
        <v>7</v>
      </c>
      <c r="C1064" s="1">
        <f>5738.9*(1000)</f>
        <v>5738900</v>
      </c>
      <c r="D1064" s="1">
        <v>0</v>
      </c>
    </row>
    <row r="1065" spans="1:4" x14ac:dyDescent="0.25">
      <c r="A1065" s="2">
        <v>41487</v>
      </c>
      <c r="B1065" s="2" t="s">
        <v>7</v>
      </c>
      <c r="C1065" s="1">
        <f>5745.7*(1000)</f>
        <v>5745700</v>
      </c>
      <c r="D1065" s="1">
        <v>0</v>
      </c>
    </row>
    <row r="1066" spans="1:4" x14ac:dyDescent="0.25">
      <c r="A1066" s="2">
        <v>41518</v>
      </c>
      <c r="B1066" s="2" t="s">
        <v>7</v>
      </c>
      <c r="C1066" s="1">
        <f>5747.2*(1000)</f>
        <v>5747200</v>
      </c>
      <c r="D1066" s="1">
        <v>0</v>
      </c>
    </row>
    <row r="1067" spans="1:4" x14ac:dyDescent="0.25">
      <c r="A1067" s="2">
        <v>41548</v>
      </c>
      <c r="B1067" s="2" t="s">
        <v>7</v>
      </c>
      <c r="C1067" s="1">
        <f>5754.1*(1000)</f>
        <v>5754100</v>
      </c>
      <c r="D1067" s="1">
        <v>0</v>
      </c>
    </row>
    <row r="1068" spans="1:4" x14ac:dyDescent="0.25">
      <c r="A1068" s="2">
        <v>41579</v>
      </c>
      <c r="B1068" s="2" t="s">
        <v>7</v>
      </c>
      <c r="C1068" s="1">
        <f>5765.1*(1000)</f>
        <v>5765100</v>
      </c>
      <c r="D1068" s="1">
        <v>0</v>
      </c>
    </row>
    <row r="1069" spans="1:4" x14ac:dyDescent="0.25">
      <c r="A1069" s="2">
        <v>41609</v>
      </c>
      <c r="B1069" s="2" t="s">
        <v>7</v>
      </c>
      <c r="C1069" s="1">
        <f>5758.1*(1000)</f>
        <v>5758100</v>
      </c>
      <c r="D1069" s="1">
        <v>0</v>
      </c>
    </row>
    <row r="1070" spans="1:4" x14ac:dyDescent="0.25">
      <c r="A1070" s="2">
        <v>41640</v>
      </c>
      <c r="B1070" s="2" t="s">
        <v>7</v>
      </c>
      <c r="C1070" s="1">
        <f>5757.3*(1000)</f>
        <v>5757300</v>
      </c>
      <c r="D1070" s="1">
        <v>0</v>
      </c>
    </row>
    <row r="1071" spans="1:4" x14ac:dyDescent="0.25">
      <c r="A1071" s="2">
        <v>41671</v>
      </c>
      <c r="B1071" s="2" t="s">
        <v>7</v>
      </c>
      <c r="C1071" s="1">
        <f>5767.3*(1000)</f>
        <v>5767300</v>
      </c>
      <c r="D1071" s="1">
        <v>0</v>
      </c>
    </row>
    <row r="1072" spans="1:4" x14ac:dyDescent="0.25">
      <c r="A1072" s="2">
        <v>41699</v>
      </c>
      <c r="B1072" s="2" t="s">
        <v>7</v>
      </c>
      <c r="C1072" s="1">
        <f>5757.9*(1000)</f>
        <v>5757900</v>
      </c>
      <c r="D1072" s="1">
        <v>0</v>
      </c>
    </row>
    <row r="1073" spans="1:4" x14ac:dyDescent="0.25">
      <c r="A1073" s="2">
        <v>41730</v>
      </c>
      <c r="B1073" s="2" t="s">
        <v>7</v>
      </c>
      <c r="C1073" s="1">
        <f>5770.2*(1000)</f>
        <v>5770200</v>
      </c>
      <c r="D1073" s="1">
        <v>0</v>
      </c>
    </row>
    <row r="1074" spans="1:4" x14ac:dyDescent="0.25">
      <c r="A1074" s="2">
        <v>41760</v>
      </c>
      <c r="B1074" s="2" t="s">
        <v>7</v>
      </c>
      <c r="C1074" s="1">
        <f>5787.9*(1000)</f>
        <v>5787900</v>
      </c>
      <c r="D1074" s="1">
        <v>0</v>
      </c>
    </row>
    <row r="1075" spans="1:4" x14ac:dyDescent="0.25">
      <c r="A1075" s="2">
        <v>41791</v>
      </c>
      <c r="B1075" s="2" t="s">
        <v>7</v>
      </c>
      <c r="C1075" s="1">
        <f>5793.7*(1000)</f>
        <v>5793700</v>
      </c>
      <c r="D1075" s="1">
        <v>0</v>
      </c>
    </row>
    <row r="1076" spans="1:4" x14ac:dyDescent="0.25">
      <c r="A1076" s="2">
        <v>41821</v>
      </c>
      <c r="B1076" s="2" t="s">
        <v>7</v>
      </c>
      <c r="C1076" s="1">
        <f>5792.6*(1000)</f>
        <v>5792600</v>
      </c>
      <c r="D1076" s="1">
        <v>0</v>
      </c>
    </row>
    <row r="1077" spans="1:4" x14ac:dyDescent="0.25">
      <c r="A1077" s="2">
        <v>41852</v>
      </c>
      <c r="B1077" s="2" t="s">
        <v>7</v>
      </c>
      <c r="C1077" s="1">
        <f>5792.2*(1000)</f>
        <v>5792200</v>
      </c>
      <c r="D1077" s="1">
        <v>0</v>
      </c>
    </row>
    <row r="1078" spans="1:4" x14ac:dyDescent="0.25">
      <c r="A1078" s="2">
        <v>41883</v>
      </c>
      <c r="B1078" s="2" t="s">
        <v>7</v>
      </c>
      <c r="C1078" s="1">
        <f>5789.7*(1000)</f>
        <v>5789700</v>
      </c>
      <c r="D1078" s="1">
        <v>0</v>
      </c>
    </row>
    <row r="1079" spans="1:4" x14ac:dyDescent="0.25">
      <c r="A1079" s="2">
        <v>41913</v>
      </c>
      <c r="B1079" s="2" t="s">
        <v>7</v>
      </c>
      <c r="C1079" s="1">
        <f>5798.1*(1000)</f>
        <v>5798100</v>
      </c>
      <c r="D1079" s="1">
        <v>0</v>
      </c>
    </row>
    <row r="1080" spans="1:4" x14ac:dyDescent="0.25">
      <c r="A1080" s="2">
        <v>41944</v>
      </c>
      <c r="B1080" s="2" t="s">
        <v>7</v>
      </c>
      <c r="C1080" s="1">
        <f>5804*(1000)</f>
        <v>5804000</v>
      </c>
      <c r="D1080" s="1">
        <v>0</v>
      </c>
    </row>
    <row r="1081" spans="1:4" x14ac:dyDescent="0.25">
      <c r="A1081" s="2">
        <v>41974</v>
      </c>
      <c r="B1081" s="2" t="s">
        <v>7</v>
      </c>
      <c r="C1081" s="1">
        <f>5812.3*(1000)</f>
        <v>5812300</v>
      </c>
      <c r="D1081" s="1">
        <v>0</v>
      </c>
    </row>
    <row r="1082" spans="1:4" x14ac:dyDescent="0.25">
      <c r="A1082" s="2">
        <v>36526</v>
      </c>
      <c r="B1082" s="1" t="s">
        <v>8</v>
      </c>
      <c r="C1082" s="1">
        <f>1914.4*(1000)</f>
        <v>1914400</v>
      </c>
      <c r="D1082" s="1">
        <v>0</v>
      </c>
    </row>
    <row r="1083" spans="1:4" x14ac:dyDescent="0.25">
      <c r="A1083" s="2">
        <v>36557</v>
      </c>
      <c r="B1083" s="1" t="s">
        <v>8</v>
      </c>
      <c r="C1083" s="1">
        <f>1916.2*(1000)</f>
        <v>1916200</v>
      </c>
      <c r="D1083" s="1">
        <v>0</v>
      </c>
    </row>
    <row r="1084" spans="1:4" x14ac:dyDescent="0.25">
      <c r="A1084" s="2">
        <v>36586</v>
      </c>
      <c r="B1084" s="1" t="s">
        <v>8</v>
      </c>
      <c r="C1084" s="1">
        <f>1918.9*(1000)</f>
        <v>1918900</v>
      </c>
      <c r="D1084" s="1">
        <v>0</v>
      </c>
    </row>
    <row r="1085" spans="1:4" x14ac:dyDescent="0.25">
      <c r="A1085" s="2">
        <v>36617</v>
      </c>
      <c r="B1085" s="1" t="s">
        <v>8</v>
      </c>
      <c r="C1085" s="1">
        <f>1919.1*(1000)</f>
        <v>1919100</v>
      </c>
      <c r="D1085" s="1">
        <v>0</v>
      </c>
    </row>
    <row r="1086" spans="1:4" x14ac:dyDescent="0.25">
      <c r="A1086" s="2">
        <v>36647</v>
      </c>
      <c r="B1086" s="1" t="s">
        <v>8</v>
      </c>
      <c r="C1086" s="1">
        <f>1928.2*(1000)</f>
        <v>1928200</v>
      </c>
      <c r="D1086" s="1">
        <v>0</v>
      </c>
    </row>
    <row r="1087" spans="1:4" x14ac:dyDescent="0.25">
      <c r="A1087" s="2">
        <v>36678</v>
      </c>
      <c r="B1087" s="1" t="s">
        <v>8</v>
      </c>
      <c r="C1087" s="1">
        <f>1917.1*(1000)</f>
        <v>1917100</v>
      </c>
      <c r="D1087" s="1">
        <v>0</v>
      </c>
    </row>
    <row r="1088" spans="1:4" x14ac:dyDescent="0.25">
      <c r="A1088" s="2">
        <v>36708</v>
      </c>
      <c r="B1088" s="1" t="s">
        <v>8</v>
      </c>
      <c r="C1088" s="1">
        <f>1914.8*(1000)</f>
        <v>1914800</v>
      </c>
      <c r="D1088" s="1">
        <v>0</v>
      </c>
    </row>
    <row r="1089" spans="1:4" x14ac:dyDescent="0.25">
      <c r="A1089" s="2">
        <v>36739</v>
      </c>
      <c r="B1089" s="1" t="s">
        <v>8</v>
      </c>
      <c r="C1089" s="1">
        <f>1916.5*(1000)</f>
        <v>1916500</v>
      </c>
      <c r="D1089" s="1">
        <v>0</v>
      </c>
    </row>
    <row r="1090" spans="1:4" x14ac:dyDescent="0.25">
      <c r="A1090" s="2">
        <v>36770</v>
      </c>
      <c r="B1090" s="1" t="s">
        <v>8</v>
      </c>
      <c r="C1090" s="1">
        <f>1915.1*(1000)</f>
        <v>1915100</v>
      </c>
      <c r="D1090" s="1">
        <v>0</v>
      </c>
    </row>
    <row r="1091" spans="1:4" x14ac:dyDescent="0.25">
      <c r="A1091" s="2">
        <v>36800</v>
      </c>
      <c r="B1091" s="1" t="s">
        <v>8</v>
      </c>
      <c r="C1091" s="1">
        <f>1918.2*(1000)</f>
        <v>1918200</v>
      </c>
      <c r="D1091" s="1">
        <v>0</v>
      </c>
    </row>
    <row r="1092" spans="1:4" x14ac:dyDescent="0.25">
      <c r="A1092" s="2">
        <v>36831</v>
      </c>
      <c r="B1092" s="1" t="s">
        <v>8</v>
      </c>
      <c r="C1092" s="1">
        <f>1916.5*(1000)</f>
        <v>1916500</v>
      </c>
      <c r="D1092" s="1">
        <v>0</v>
      </c>
    </row>
    <row r="1093" spans="1:4" x14ac:dyDescent="0.25">
      <c r="A1093" s="2">
        <v>36861</v>
      </c>
      <c r="B1093" s="1" t="s">
        <v>8</v>
      </c>
      <c r="C1093" s="1">
        <f>1920.9*(1000)</f>
        <v>1920900</v>
      </c>
      <c r="D1093" s="1">
        <v>0</v>
      </c>
    </row>
    <row r="1094" spans="1:4" x14ac:dyDescent="0.25">
      <c r="A1094" s="2">
        <v>36892</v>
      </c>
      <c r="B1094" s="1" t="s">
        <v>8</v>
      </c>
      <c r="C1094" s="1">
        <f>1922.9*(1000)</f>
        <v>1922900</v>
      </c>
      <c r="D1094" s="1">
        <v>0</v>
      </c>
    </row>
    <row r="1095" spans="1:4" x14ac:dyDescent="0.25">
      <c r="A1095" s="2">
        <v>36923</v>
      </c>
      <c r="B1095" s="1" t="s">
        <v>8</v>
      </c>
      <c r="C1095" s="1">
        <f>1922.7*(1000)</f>
        <v>1922700</v>
      </c>
      <c r="D1095" s="1">
        <v>0</v>
      </c>
    </row>
    <row r="1096" spans="1:4" x14ac:dyDescent="0.25">
      <c r="A1096" s="2">
        <v>36951</v>
      </c>
      <c r="B1096" s="1" t="s">
        <v>8</v>
      </c>
      <c r="C1096" s="1">
        <f>1924.7*(1000)</f>
        <v>1924700</v>
      </c>
      <c r="D1096" s="1">
        <v>0</v>
      </c>
    </row>
    <row r="1097" spans="1:4" x14ac:dyDescent="0.25">
      <c r="A1097" s="2">
        <v>36982</v>
      </c>
      <c r="B1097" s="1" t="s">
        <v>8</v>
      </c>
      <c r="C1097" s="1">
        <f>1920.6*(1000)</f>
        <v>1920600</v>
      </c>
      <c r="D1097" s="1">
        <v>0</v>
      </c>
    </row>
    <row r="1098" spans="1:4" x14ac:dyDescent="0.25">
      <c r="A1098" s="2">
        <v>37012</v>
      </c>
      <c r="B1098" s="1" t="s">
        <v>8</v>
      </c>
      <c r="C1098" s="1">
        <f>1920.7*(1000)</f>
        <v>1920700</v>
      </c>
      <c r="D1098" s="1">
        <v>0</v>
      </c>
    </row>
    <row r="1099" spans="1:4" x14ac:dyDescent="0.25">
      <c r="A1099" s="2">
        <v>37043</v>
      </c>
      <c r="B1099" s="1" t="s">
        <v>8</v>
      </c>
      <c r="C1099" s="1">
        <f>1919.2*(1000)</f>
        <v>1919200</v>
      </c>
      <c r="D1099" s="1">
        <v>0</v>
      </c>
    </row>
    <row r="1100" spans="1:4" x14ac:dyDescent="0.25">
      <c r="A1100" s="2">
        <v>37073</v>
      </c>
      <c r="B1100" s="1" t="s">
        <v>8</v>
      </c>
      <c r="C1100" s="1">
        <f>1912.2*(1000)</f>
        <v>1912200</v>
      </c>
      <c r="D1100" s="1">
        <v>0</v>
      </c>
    </row>
    <row r="1101" spans="1:4" x14ac:dyDescent="0.25">
      <c r="A1101" s="2">
        <v>37104</v>
      </c>
      <c r="B1101" s="1" t="s">
        <v>8</v>
      </c>
      <c r="C1101" s="1">
        <f>1914.4*(1000)</f>
        <v>1914400</v>
      </c>
      <c r="D1101" s="1">
        <v>0</v>
      </c>
    </row>
    <row r="1102" spans="1:4" x14ac:dyDescent="0.25">
      <c r="A1102" s="2">
        <v>37135</v>
      </c>
      <c r="B1102" s="1" t="s">
        <v>8</v>
      </c>
      <c r="C1102" s="1">
        <f>1914.6*(1000)</f>
        <v>1914600</v>
      </c>
      <c r="D1102" s="1">
        <v>0</v>
      </c>
    </row>
    <row r="1103" spans="1:4" x14ac:dyDescent="0.25">
      <c r="A1103" s="2">
        <v>37165</v>
      </c>
      <c r="B1103" s="1" t="s">
        <v>8</v>
      </c>
      <c r="C1103" s="1">
        <f>1908.2*(1000)</f>
        <v>1908200</v>
      </c>
      <c r="D1103" s="1">
        <v>0</v>
      </c>
    </row>
    <row r="1104" spans="1:4" x14ac:dyDescent="0.25">
      <c r="A1104" s="2">
        <v>37196</v>
      </c>
      <c r="B1104" s="1" t="s">
        <v>8</v>
      </c>
      <c r="C1104" s="1">
        <f>1905.8*(1000)</f>
        <v>1905800</v>
      </c>
      <c r="D1104" s="1">
        <v>0</v>
      </c>
    </row>
    <row r="1105" spans="1:4" x14ac:dyDescent="0.25">
      <c r="A1105" s="2">
        <v>37226</v>
      </c>
      <c r="B1105" s="1" t="s">
        <v>8</v>
      </c>
      <c r="C1105" s="1">
        <f>1902.2*(1000)</f>
        <v>1902200</v>
      </c>
      <c r="D1105" s="1">
        <v>0</v>
      </c>
    </row>
    <row r="1106" spans="1:4" x14ac:dyDescent="0.25">
      <c r="A1106" s="2">
        <v>37257</v>
      </c>
      <c r="B1106" s="1" t="s">
        <v>8</v>
      </c>
      <c r="C1106" s="1">
        <f>1896.3*(1000)</f>
        <v>1896300</v>
      </c>
      <c r="D1106" s="1">
        <v>0</v>
      </c>
    </row>
    <row r="1107" spans="1:4" x14ac:dyDescent="0.25">
      <c r="A1107" s="2">
        <v>37288</v>
      </c>
      <c r="B1107" s="1" t="s">
        <v>8</v>
      </c>
      <c r="C1107" s="1">
        <f>1893.1*(1000)</f>
        <v>1893100</v>
      </c>
      <c r="D1107" s="1">
        <v>0</v>
      </c>
    </row>
    <row r="1108" spans="1:4" x14ac:dyDescent="0.25">
      <c r="A1108" s="2">
        <v>37316</v>
      </c>
      <c r="B1108" s="1" t="s">
        <v>8</v>
      </c>
      <c r="C1108" s="1">
        <f>1891.9*(1000)</f>
        <v>1891900</v>
      </c>
      <c r="D1108" s="1">
        <v>0</v>
      </c>
    </row>
    <row r="1109" spans="1:4" x14ac:dyDescent="0.25">
      <c r="A1109" s="2">
        <v>37347</v>
      </c>
      <c r="B1109" s="1" t="s">
        <v>8</v>
      </c>
      <c r="C1109" s="1">
        <f>1898.2*(1000)</f>
        <v>1898200</v>
      </c>
      <c r="D1109" s="1">
        <v>0</v>
      </c>
    </row>
    <row r="1110" spans="1:4" x14ac:dyDescent="0.25">
      <c r="A1110" s="2">
        <v>37377</v>
      </c>
      <c r="B1110" s="1" t="s">
        <v>8</v>
      </c>
      <c r="C1110" s="1">
        <f>1897.2*(1000)</f>
        <v>1897200</v>
      </c>
      <c r="D1110" s="1">
        <v>0</v>
      </c>
    </row>
    <row r="1111" spans="1:4" x14ac:dyDescent="0.25">
      <c r="A1111" s="2">
        <v>37408</v>
      </c>
      <c r="B1111" s="1" t="s">
        <v>8</v>
      </c>
      <c r="C1111" s="1">
        <f>1898.3*(1000)</f>
        <v>1898300</v>
      </c>
      <c r="D1111" s="1">
        <v>0</v>
      </c>
    </row>
    <row r="1112" spans="1:4" x14ac:dyDescent="0.25">
      <c r="A1112" s="2">
        <v>37438</v>
      </c>
      <c r="B1112" s="1" t="s">
        <v>8</v>
      </c>
      <c r="C1112" s="1">
        <f>1896*(1000)</f>
        <v>1896000</v>
      </c>
      <c r="D1112" s="1">
        <v>0</v>
      </c>
    </row>
    <row r="1113" spans="1:4" x14ac:dyDescent="0.25">
      <c r="A1113" s="2">
        <v>37469</v>
      </c>
      <c r="B1113" s="1" t="s">
        <v>8</v>
      </c>
      <c r="C1113" s="1">
        <f>1896.7*(1000)</f>
        <v>1896700</v>
      </c>
      <c r="D1113" s="1">
        <v>0</v>
      </c>
    </row>
    <row r="1114" spans="1:4" x14ac:dyDescent="0.25">
      <c r="A1114" s="2">
        <v>37500</v>
      </c>
      <c r="B1114" s="1" t="s">
        <v>8</v>
      </c>
      <c r="C1114" s="1">
        <f>1897.4*(1000)</f>
        <v>1897400</v>
      </c>
      <c r="D1114" s="1">
        <v>0</v>
      </c>
    </row>
    <row r="1115" spans="1:4" x14ac:dyDescent="0.25">
      <c r="A1115" s="2">
        <v>37530</v>
      </c>
      <c r="B1115" s="1" t="s">
        <v>8</v>
      </c>
      <c r="C1115" s="1">
        <f>1894.3*(1000)</f>
        <v>1894300</v>
      </c>
      <c r="D1115" s="1">
        <v>0</v>
      </c>
    </row>
    <row r="1116" spans="1:4" x14ac:dyDescent="0.25">
      <c r="A1116" s="2">
        <v>37561</v>
      </c>
      <c r="B1116" s="1" t="s">
        <v>8</v>
      </c>
      <c r="C1116" s="1">
        <f>1897.8*(1000)</f>
        <v>1897800</v>
      </c>
      <c r="D1116" s="1">
        <v>0</v>
      </c>
    </row>
    <row r="1117" spans="1:4" x14ac:dyDescent="0.25">
      <c r="A1117" s="2">
        <v>37591</v>
      </c>
      <c r="B1117" s="1" t="s">
        <v>8</v>
      </c>
      <c r="C1117" s="1">
        <f>1894.9*(1000)</f>
        <v>1894900</v>
      </c>
      <c r="D1117" s="1">
        <v>0</v>
      </c>
    </row>
    <row r="1118" spans="1:4" x14ac:dyDescent="0.25">
      <c r="A1118" s="2">
        <v>37622</v>
      </c>
      <c r="B1118" s="1" t="s">
        <v>8</v>
      </c>
      <c r="C1118" s="1">
        <f>1905.9*(1000)</f>
        <v>1905900</v>
      </c>
      <c r="D1118" s="1">
        <v>0</v>
      </c>
    </row>
    <row r="1119" spans="1:4" x14ac:dyDescent="0.25">
      <c r="A1119" s="2">
        <v>37653</v>
      </c>
      <c r="B1119" s="1" t="s">
        <v>8</v>
      </c>
      <c r="C1119" s="1">
        <f>1904.9*(1000)</f>
        <v>1904900</v>
      </c>
      <c r="D1119" s="1">
        <v>0</v>
      </c>
    </row>
    <row r="1120" spans="1:4" x14ac:dyDescent="0.25">
      <c r="A1120" s="2">
        <v>37681</v>
      </c>
      <c r="B1120" s="1" t="s">
        <v>8</v>
      </c>
      <c r="C1120" s="1">
        <f>1899.8*(1000)</f>
        <v>1899800</v>
      </c>
      <c r="D1120" s="1">
        <v>0</v>
      </c>
    </row>
    <row r="1121" spans="1:4" x14ac:dyDescent="0.25">
      <c r="A1121" s="2">
        <v>37712</v>
      </c>
      <c r="B1121" s="1" t="s">
        <v>8</v>
      </c>
      <c r="C1121" s="1">
        <f>1901.3*(1000)</f>
        <v>1901300</v>
      </c>
      <c r="D1121" s="1">
        <v>0</v>
      </c>
    </row>
    <row r="1122" spans="1:4" x14ac:dyDescent="0.25">
      <c r="A1122" s="2">
        <v>37742</v>
      </c>
      <c r="B1122" s="1" t="s">
        <v>8</v>
      </c>
      <c r="C1122" s="1">
        <f>1903.8*(1000)</f>
        <v>1903800</v>
      </c>
      <c r="D1122" s="1">
        <v>0</v>
      </c>
    </row>
    <row r="1123" spans="1:4" x14ac:dyDescent="0.25">
      <c r="A1123" s="2">
        <v>37773</v>
      </c>
      <c r="B1123" s="1" t="s">
        <v>8</v>
      </c>
      <c r="C1123" s="1">
        <f>1902.9*(1000)</f>
        <v>1902900</v>
      </c>
      <c r="D1123" s="1">
        <v>0</v>
      </c>
    </row>
    <row r="1124" spans="1:4" x14ac:dyDescent="0.25">
      <c r="A1124" s="2">
        <v>37803</v>
      </c>
      <c r="B1124" s="1" t="s">
        <v>8</v>
      </c>
      <c r="C1124" s="1">
        <f>1903.1*(1000)</f>
        <v>1903100</v>
      </c>
      <c r="D1124" s="1">
        <v>0</v>
      </c>
    </row>
    <row r="1125" spans="1:4" x14ac:dyDescent="0.25">
      <c r="A1125" s="2">
        <v>37834</v>
      </c>
      <c r="B1125" s="1" t="s">
        <v>8</v>
      </c>
      <c r="C1125" s="1">
        <f>1903.2*(1000)</f>
        <v>1903200</v>
      </c>
      <c r="D1125" s="1">
        <v>0</v>
      </c>
    </row>
    <row r="1126" spans="1:4" x14ac:dyDescent="0.25">
      <c r="A1126" s="2">
        <v>37865</v>
      </c>
      <c r="B1126" s="1" t="s">
        <v>8</v>
      </c>
      <c r="C1126" s="1">
        <f>1907.6*(1000)</f>
        <v>1907600</v>
      </c>
      <c r="D1126" s="1">
        <v>0</v>
      </c>
    </row>
    <row r="1127" spans="1:4" x14ac:dyDescent="0.25">
      <c r="A1127" s="2">
        <v>37895</v>
      </c>
      <c r="B1127" s="1" t="s">
        <v>8</v>
      </c>
      <c r="C1127" s="1">
        <f>1911.5*(1000)</f>
        <v>1911500</v>
      </c>
      <c r="D1127" s="1">
        <v>0</v>
      </c>
    </row>
    <row r="1128" spans="1:4" x14ac:dyDescent="0.25">
      <c r="A1128" s="2">
        <v>37926</v>
      </c>
      <c r="B1128" s="1" t="s">
        <v>8</v>
      </c>
      <c r="C1128" s="1">
        <f>1912*(1000)</f>
        <v>1912000</v>
      </c>
      <c r="D1128" s="1">
        <v>0</v>
      </c>
    </row>
    <row r="1129" spans="1:4" x14ac:dyDescent="0.25">
      <c r="A1129" s="2">
        <v>37956</v>
      </c>
      <c r="B1129" s="1" t="s">
        <v>8</v>
      </c>
      <c r="C1129" s="1">
        <f>1911.7*(1000)</f>
        <v>1911700</v>
      </c>
      <c r="D1129" s="1">
        <v>0</v>
      </c>
    </row>
    <row r="1130" spans="1:4" x14ac:dyDescent="0.25">
      <c r="A1130" s="2">
        <v>37987</v>
      </c>
      <c r="B1130" s="1" t="s">
        <v>8</v>
      </c>
      <c r="C1130" s="1">
        <f>1913.6*(1000)</f>
        <v>1913600</v>
      </c>
      <c r="D1130" s="1">
        <v>0</v>
      </c>
    </row>
    <row r="1131" spans="1:4" x14ac:dyDescent="0.25">
      <c r="A1131" s="2">
        <v>38018</v>
      </c>
      <c r="B1131" s="1" t="s">
        <v>8</v>
      </c>
      <c r="C1131" s="1">
        <f>1913.9*(1000)</f>
        <v>1913900</v>
      </c>
      <c r="D1131" s="1">
        <v>0</v>
      </c>
    </row>
    <row r="1132" spans="1:4" x14ac:dyDescent="0.25">
      <c r="A1132" s="2">
        <v>38047</v>
      </c>
      <c r="B1132" s="1" t="s">
        <v>8</v>
      </c>
      <c r="C1132" s="1">
        <f>1919.5*(1000)</f>
        <v>1919500</v>
      </c>
      <c r="D1132" s="1">
        <v>0</v>
      </c>
    </row>
    <row r="1133" spans="1:4" x14ac:dyDescent="0.25">
      <c r="A1133" s="2">
        <v>38078</v>
      </c>
      <c r="B1133" s="1" t="s">
        <v>8</v>
      </c>
      <c r="C1133" s="1">
        <f>1916.8*(1000)</f>
        <v>1916800</v>
      </c>
      <c r="D1133" s="1">
        <v>0</v>
      </c>
    </row>
    <row r="1134" spans="1:4" x14ac:dyDescent="0.25">
      <c r="A1134" s="2">
        <v>38108</v>
      </c>
      <c r="B1134" s="1" t="s">
        <v>8</v>
      </c>
      <c r="C1134" s="1">
        <f>1913.8*(1000)</f>
        <v>1913800</v>
      </c>
      <c r="D1134" s="1">
        <v>0</v>
      </c>
    </row>
    <row r="1135" spans="1:4" x14ac:dyDescent="0.25">
      <c r="A1135" s="2">
        <v>38139</v>
      </c>
      <c r="B1135" s="1" t="s">
        <v>8</v>
      </c>
      <c r="C1135" s="1">
        <f>1917*(1000)</f>
        <v>1917000</v>
      </c>
      <c r="D1135" s="1">
        <v>0</v>
      </c>
    </row>
    <row r="1136" spans="1:4" x14ac:dyDescent="0.25">
      <c r="A1136" s="2">
        <v>38169</v>
      </c>
      <c r="B1136" s="1" t="s">
        <v>8</v>
      </c>
      <c r="C1136" s="1">
        <f>1917.1*(1000)</f>
        <v>1917100</v>
      </c>
      <c r="D1136" s="1">
        <v>0</v>
      </c>
    </row>
    <row r="1137" spans="1:4" x14ac:dyDescent="0.25">
      <c r="A1137" s="2">
        <v>38200</v>
      </c>
      <c r="B1137" s="1" t="s">
        <v>8</v>
      </c>
      <c r="C1137" s="1">
        <f>1918.6*(1000)</f>
        <v>1918600</v>
      </c>
      <c r="D1137" s="1">
        <v>0</v>
      </c>
    </row>
    <row r="1138" spans="1:4" x14ac:dyDescent="0.25">
      <c r="A1138" s="2">
        <v>38231</v>
      </c>
      <c r="B1138" s="1" t="s">
        <v>8</v>
      </c>
      <c r="C1138" s="1">
        <f>1911.5*(1000)</f>
        <v>1911500</v>
      </c>
      <c r="D1138" s="1">
        <v>0</v>
      </c>
    </row>
    <row r="1139" spans="1:4" x14ac:dyDescent="0.25">
      <c r="A1139" s="2">
        <v>38261</v>
      </c>
      <c r="B1139" s="1" t="s">
        <v>8</v>
      </c>
      <c r="C1139" s="1">
        <f>1918.7*(1000)</f>
        <v>1918700</v>
      </c>
      <c r="D1139" s="1">
        <v>0</v>
      </c>
    </row>
    <row r="1140" spans="1:4" x14ac:dyDescent="0.25">
      <c r="A1140" s="2">
        <v>38292</v>
      </c>
      <c r="B1140" s="1" t="s">
        <v>8</v>
      </c>
      <c r="C1140" s="1">
        <f>1923.8*(1000)</f>
        <v>1923800</v>
      </c>
      <c r="D1140" s="1">
        <v>0</v>
      </c>
    </row>
    <row r="1141" spans="1:4" x14ac:dyDescent="0.25">
      <c r="A1141" s="2">
        <v>38322</v>
      </c>
      <c r="B1141" s="1" t="s">
        <v>8</v>
      </c>
      <c r="C1141" s="1">
        <f>1924.8*(1000)</f>
        <v>1924800</v>
      </c>
      <c r="D1141" s="1">
        <v>0</v>
      </c>
    </row>
    <row r="1142" spans="1:4" x14ac:dyDescent="0.25">
      <c r="A1142" s="2">
        <v>38353</v>
      </c>
      <c r="B1142" s="1" t="s">
        <v>8</v>
      </c>
      <c r="C1142" s="1">
        <f>1926.5*(1000)</f>
        <v>1926500</v>
      </c>
      <c r="D1142" s="1">
        <v>0</v>
      </c>
    </row>
    <row r="1143" spans="1:4" x14ac:dyDescent="0.25">
      <c r="A1143" s="2">
        <v>38384</v>
      </c>
      <c r="B1143" s="1" t="s">
        <v>8</v>
      </c>
      <c r="C1143" s="1">
        <f>1924.5*(1000)</f>
        <v>1924500</v>
      </c>
      <c r="D1143" s="1">
        <v>0</v>
      </c>
    </row>
    <row r="1144" spans="1:4" x14ac:dyDescent="0.25">
      <c r="A1144" s="2">
        <v>38412</v>
      </c>
      <c r="B1144" s="1" t="s">
        <v>8</v>
      </c>
      <c r="C1144" s="1">
        <f>1929.9*(1000)</f>
        <v>1929900</v>
      </c>
      <c r="D1144" s="1">
        <v>0</v>
      </c>
    </row>
    <row r="1145" spans="1:4" x14ac:dyDescent="0.25">
      <c r="A1145" s="2">
        <v>38443</v>
      </c>
      <c r="B1145" s="1" t="s">
        <v>8</v>
      </c>
      <c r="C1145" s="1">
        <f>1941.8*(1000)</f>
        <v>1941800</v>
      </c>
      <c r="D1145" s="1">
        <v>0</v>
      </c>
    </row>
    <row r="1146" spans="1:4" x14ac:dyDescent="0.25">
      <c r="A1146" s="2">
        <v>38473</v>
      </c>
      <c r="B1146" s="1" t="s">
        <v>8</v>
      </c>
      <c r="C1146" s="1">
        <f>1943.3*(1000)</f>
        <v>1943300</v>
      </c>
      <c r="D1146" s="1">
        <v>0</v>
      </c>
    </row>
    <row r="1147" spans="1:4" x14ac:dyDescent="0.25">
      <c r="A1147" s="2">
        <v>38504</v>
      </c>
      <c r="B1147" s="1" t="s">
        <v>8</v>
      </c>
      <c r="C1147" s="1">
        <f>1944.8*(1000)</f>
        <v>1944800</v>
      </c>
      <c r="D1147" s="1">
        <v>0</v>
      </c>
    </row>
    <row r="1148" spans="1:4" x14ac:dyDescent="0.25">
      <c r="A1148" s="2">
        <v>38534</v>
      </c>
      <c r="B1148" s="1" t="s">
        <v>8</v>
      </c>
      <c r="C1148" s="1">
        <f>1951.1*(1000)</f>
        <v>1951100</v>
      </c>
      <c r="D1148" s="1">
        <v>0</v>
      </c>
    </row>
    <row r="1149" spans="1:4" x14ac:dyDescent="0.25">
      <c r="A1149" s="2">
        <v>38565</v>
      </c>
      <c r="B1149" s="1" t="s">
        <v>8</v>
      </c>
      <c r="C1149" s="1">
        <f>1950*(1000)</f>
        <v>1950000</v>
      </c>
      <c r="D1149" s="1">
        <v>0</v>
      </c>
    </row>
    <row r="1150" spans="1:4" x14ac:dyDescent="0.25">
      <c r="A1150" s="2">
        <v>38596</v>
      </c>
      <c r="B1150" s="1" t="s">
        <v>8</v>
      </c>
      <c r="C1150" s="1">
        <f>1823.1*(1000)</f>
        <v>1823100</v>
      </c>
      <c r="D1150" s="1">
        <v>0</v>
      </c>
    </row>
    <row r="1151" spans="1:4" x14ac:dyDescent="0.25">
      <c r="A1151" s="2">
        <v>38626</v>
      </c>
      <c r="B1151" s="1" t="s">
        <v>8</v>
      </c>
      <c r="C1151" s="1">
        <f>1772.1*(1000)</f>
        <v>1772100</v>
      </c>
      <c r="D1151" s="1">
        <v>0</v>
      </c>
    </row>
    <row r="1152" spans="1:4" x14ac:dyDescent="0.25">
      <c r="A1152" s="2">
        <v>38657</v>
      </c>
      <c r="B1152" s="1" t="s">
        <v>8</v>
      </c>
      <c r="C1152" s="1">
        <f>1789.8*(1000)</f>
        <v>1789800</v>
      </c>
      <c r="D1152" s="1">
        <v>0</v>
      </c>
    </row>
    <row r="1153" spans="1:4" x14ac:dyDescent="0.25">
      <c r="A1153" s="2">
        <v>38687</v>
      </c>
      <c r="B1153" s="1" t="s">
        <v>8</v>
      </c>
      <c r="C1153" s="1">
        <f>1801.9*(1000)</f>
        <v>1801900</v>
      </c>
      <c r="D1153" s="1">
        <v>0</v>
      </c>
    </row>
    <row r="1154" spans="1:4" x14ac:dyDescent="0.25">
      <c r="A1154" s="2">
        <v>38718</v>
      </c>
      <c r="B1154" s="1" t="s">
        <v>8</v>
      </c>
      <c r="C1154" s="1">
        <f>1810.2*(1000)</f>
        <v>1810200</v>
      </c>
      <c r="D1154" s="1">
        <v>0</v>
      </c>
    </row>
    <row r="1155" spans="1:4" x14ac:dyDescent="0.25">
      <c r="A1155" s="2">
        <v>38749</v>
      </c>
      <c r="B1155" s="1" t="s">
        <v>8</v>
      </c>
      <c r="C1155" s="1">
        <f>1822.2*(1000)</f>
        <v>1822200</v>
      </c>
      <c r="D1155" s="1">
        <v>0</v>
      </c>
    </row>
    <row r="1156" spans="1:4" x14ac:dyDescent="0.25">
      <c r="A1156" s="2">
        <v>38777</v>
      </c>
      <c r="B1156" s="1" t="s">
        <v>8</v>
      </c>
      <c r="C1156" s="1">
        <f>1837*(1000)</f>
        <v>1837000</v>
      </c>
      <c r="D1156" s="1">
        <v>0</v>
      </c>
    </row>
    <row r="1157" spans="1:4" x14ac:dyDescent="0.25">
      <c r="A1157" s="2">
        <v>38808</v>
      </c>
      <c r="B1157" s="1" t="s">
        <v>8</v>
      </c>
      <c r="C1157" s="1">
        <f>1840.3*(1000)</f>
        <v>1840300</v>
      </c>
      <c r="D1157" s="1">
        <v>0</v>
      </c>
    </row>
    <row r="1158" spans="1:4" x14ac:dyDescent="0.25">
      <c r="A1158" s="2">
        <v>38838</v>
      </c>
      <c r="B1158" s="1" t="s">
        <v>8</v>
      </c>
      <c r="C1158" s="1">
        <f>1847.8*(1000)</f>
        <v>1847800</v>
      </c>
      <c r="D1158" s="1">
        <v>0</v>
      </c>
    </row>
    <row r="1159" spans="1:4" x14ac:dyDescent="0.25">
      <c r="A1159" s="2">
        <v>38869</v>
      </c>
      <c r="B1159" s="1" t="s">
        <v>8</v>
      </c>
      <c r="C1159" s="1">
        <f>1853.3*(1000)</f>
        <v>1853300</v>
      </c>
      <c r="D1159" s="1">
        <v>0</v>
      </c>
    </row>
    <row r="1160" spans="1:4" x14ac:dyDescent="0.25">
      <c r="A1160" s="2">
        <v>38899</v>
      </c>
      <c r="B1160" s="1" t="s">
        <v>8</v>
      </c>
      <c r="C1160" s="1">
        <f>1849.9*(1000)</f>
        <v>1849900</v>
      </c>
      <c r="D1160" s="1">
        <v>0</v>
      </c>
    </row>
    <row r="1161" spans="1:4" x14ac:dyDescent="0.25">
      <c r="A1161" s="2">
        <v>38930</v>
      </c>
      <c r="B1161" s="1" t="s">
        <v>8</v>
      </c>
      <c r="C1161" s="1">
        <f>1860.7*(1000)</f>
        <v>1860700</v>
      </c>
      <c r="D1161" s="1">
        <v>0</v>
      </c>
    </row>
    <row r="1162" spans="1:4" x14ac:dyDescent="0.25">
      <c r="A1162" s="2">
        <v>38961</v>
      </c>
      <c r="B1162" s="1" t="s">
        <v>8</v>
      </c>
      <c r="C1162" s="1">
        <f>1874*(1000)</f>
        <v>1874000</v>
      </c>
      <c r="D1162" s="1">
        <v>0</v>
      </c>
    </row>
    <row r="1163" spans="1:4" x14ac:dyDescent="0.25">
      <c r="A1163" s="2">
        <v>38991</v>
      </c>
      <c r="B1163" s="1" t="s">
        <v>8</v>
      </c>
      <c r="C1163" s="1">
        <f>1875.3*(1000)</f>
        <v>1875300</v>
      </c>
      <c r="D1163" s="1">
        <v>0</v>
      </c>
    </row>
    <row r="1164" spans="1:4" x14ac:dyDescent="0.25">
      <c r="A1164" s="2">
        <v>39022</v>
      </c>
      <c r="B1164" s="1" t="s">
        <v>8</v>
      </c>
      <c r="C1164" s="1">
        <f>1878.7*(1000)</f>
        <v>1878700</v>
      </c>
      <c r="D1164" s="1">
        <v>0</v>
      </c>
    </row>
    <row r="1165" spans="1:4" x14ac:dyDescent="0.25">
      <c r="A1165" s="2">
        <v>39052</v>
      </c>
      <c r="B1165" s="1" t="s">
        <v>8</v>
      </c>
      <c r="C1165" s="1">
        <f>1887.4*(1000)</f>
        <v>1887400</v>
      </c>
      <c r="D1165" s="1">
        <v>0</v>
      </c>
    </row>
    <row r="1166" spans="1:4" x14ac:dyDescent="0.25">
      <c r="A1166" s="2">
        <v>39083</v>
      </c>
      <c r="B1166" s="1" t="s">
        <v>8</v>
      </c>
      <c r="C1166" s="1">
        <f>1897.8*(1000)</f>
        <v>1897800</v>
      </c>
      <c r="D1166" s="1">
        <v>0</v>
      </c>
    </row>
    <row r="1167" spans="1:4" x14ac:dyDescent="0.25">
      <c r="A1167" s="2">
        <v>39114</v>
      </c>
      <c r="B1167" s="1" t="s">
        <v>8</v>
      </c>
      <c r="C1167" s="1">
        <f>1903.9*(1000)</f>
        <v>1903900</v>
      </c>
      <c r="D1167" s="1">
        <v>0</v>
      </c>
    </row>
    <row r="1168" spans="1:4" x14ac:dyDescent="0.25">
      <c r="A1168" s="2">
        <v>39142</v>
      </c>
      <c r="B1168" s="1" t="s">
        <v>8</v>
      </c>
      <c r="C1168" s="1">
        <f>1913.2*(1000)</f>
        <v>1913200</v>
      </c>
      <c r="D1168" s="1">
        <v>0</v>
      </c>
    </row>
    <row r="1169" spans="1:4" x14ac:dyDescent="0.25">
      <c r="A1169" s="2">
        <v>39173</v>
      </c>
      <c r="B1169" s="1" t="s">
        <v>8</v>
      </c>
      <c r="C1169" s="1">
        <f>1903.7*(1000)</f>
        <v>1903700</v>
      </c>
      <c r="D1169" s="1">
        <v>0</v>
      </c>
    </row>
    <row r="1170" spans="1:4" x14ac:dyDescent="0.25">
      <c r="A1170" s="2">
        <v>39203</v>
      </c>
      <c r="B1170" s="1" t="s">
        <v>8</v>
      </c>
      <c r="C1170" s="1">
        <f>1905.7*(1000)</f>
        <v>1905700</v>
      </c>
      <c r="D1170" s="1">
        <v>0</v>
      </c>
    </row>
    <row r="1171" spans="1:4" x14ac:dyDescent="0.25">
      <c r="A1171" s="2">
        <v>39234</v>
      </c>
      <c r="B1171" s="1" t="s">
        <v>8</v>
      </c>
      <c r="C1171" s="1">
        <f>1912.4*(1000)</f>
        <v>1912400</v>
      </c>
      <c r="D1171" s="1">
        <v>0</v>
      </c>
    </row>
    <row r="1172" spans="1:4" x14ac:dyDescent="0.25">
      <c r="A1172" s="2">
        <v>39264</v>
      </c>
      <c r="B1172" s="1" t="s">
        <v>8</v>
      </c>
      <c r="C1172" s="1">
        <f>1911.9*(1000)</f>
        <v>1911900</v>
      </c>
      <c r="D1172" s="1">
        <v>0</v>
      </c>
    </row>
    <row r="1173" spans="1:4" x14ac:dyDescent="0.25">
      <c r="A1173" s="2">
        <v>39295</v>
      </c>
      <c r="B1173" s="1" t="s">
        <v>8</v>
      </c>
      <c r="C1173" s="1">
        <f>1918.5*(1000)</f>
        <v>1918500</v>
      </c>
      <c r="D1173" s="1">
        <v>0</v>
      </c>
    </row>
    <row r="1174" spans="1:4" x14ac:dyDescent="0.25">
      <c r="A1174" s="2">
        <v>39326</v>
      </c>
      <c r="B1174" s="1" t="s">
        <v>8</v>
      </c>
      <c r="C1174" s="1">
        <f>1923.3*(1000)</f>
        <v>1923300</v>
      </c>
      <c r="D1174" s="1">
        <v>0</v>
      </c>
    </row>
    <row r="1175" spans="1:4" x14ac:dyDescent="0.25">
      <c r="A1175" s="2">
        <v>39356</v>
      </c>
      <c r="B1175" s="1" t="s">
        <v>8</v>
      </c>
      <c r="C1175" s="1">
        <f>1928.4*(1000)</f>
        <v>1928400</v>
      </c>
      <c r="D1175" s="1">
        <v>0</v>
      </c>
    </row>
    <row r="1176" spans="1:4" x14ac:dyDescent="0.25">
      <c r="A1176" s="2">
        <v>39387</v>
      </c>
      <c r="B1176" s="1" t="s">
        <v>8</v>
      </c>
      <c r="C1176" s="1">
        <f>1931.3*(1000)</f>
        <v>1931300</v>
      </c>
      <c r="D1176" s="1">
        <v>0</v>
      </c>
    </row>
    <row r="1177" spans="1:4" x14ac:dyDescent="0.25">
      <c r="A1177" s="2">
        <v>39417</v>
      </c>
      <c r="B1177" s="1" t="s">
        <v>8</v>
      </c>
      <c r="C1177" s="1">
        <f>1935.1*(1000)</f>
        <v>1935100</v>
      </c>
      <c r="D1177" s="1">
        <v>0</v>
      </c>
    </row>
    <row r="1178" spans="1:4" x14ac:dyDescent="0.25">
      <c r="A1178" s="2">
        <v>39448</v>
      </c>
      <c r="B1178" s="1" t="s">
        <v>8</v>
      </c>
      <c r="C1178" s="1">
        <f>1931.9*(1000)</f>
        <v>1931900</v>
      </c>
      <c r="D1178" s="1">
        <v>0</v>
      </c>
    </row>
    <row r="1179" spans="1:4" x14ac:dyDescent="0.25">
      <c r="A1179" s="2">
        <v>39479</v>
      </c>
      <c r="B1179" s="1" t="s">
        <v>8</v>
      </c>
      <c r="C1179" s="1">
        <f>1937.8*(1000)</f>
        <v>1937800</v>
      </c>
      <c r="D1179" s="1">
        <v>0</v>
      </c>
    </row>
    <row r="1180" spans="1:4" x14ac:dyDescent="0.25">
      <c r="A1180" s="2">
        <v>39508</v>
      </c>
      <c r="B1180" s="1" t="s">
        <v>8</v>
      </c>
      <c r="C1180" s="1">
        <f>1937.1*(1000)</f>
        <v>1937100</v>
      </c>
      <c r="D1180" s="1">
        <v>0</v>
      </c>
    </row>
    <row r="1181" spans="1:4" x14ac:dyDescent="0.25">
      <c r="A1181" s="2">
        <v>39539</v>
      </c>
      <c r="B1181" s="1" t="s">
        <v>8</v>
      </c>
      <c r="C1181" s="1">
        <f>1938.4*(1000)</f>
        <v>1938400</v>
      </c>
      <c r="D1181" s="1">
        <v>0</v>
      </c>
    </row>
    <row r="1182" spans="1:4" x14ac:dyDescent="0.25">
      <c r="A1182" s="2">
        <v>39569</v>
      </c>
      <c r="B1182" s="1" t="s">
        <v>8</v>
      </c>
      <c r="C1182" s="1">
        <f>1939*(1000)</f>
        <v>1939000</v>
      </c>
      <c r="D1182" s="1">
        <v>0</v>
      </c>
    </row>
    <row r="1183" spans="1:4" x14ac:dyDescent="0.25">
      <c r="A1183" s="2">
        <v>39600</v>
      </c>
      <c r="B1183" s="1" t="s">
        <v>8</v>
      </c>
      <c r="C1183" s="1">
        <f>1939.7*(1000)</f>
        <v>1939700</v>
      </c>
      <c r="D1183" s="1">
        <v>0</v>
      </c>
    </row>
    <row r="1184" spans="1:4" x14ac:dyDescent="0.25">
      <c r="A1184" s="2">
        <v>39630</v>
      </c>
      <c r="B1184" s="1" t="s">
        <v>8</v>
      </c>
      <c r="C1184" s="1">
        <f>1936.7*(1000)</f>
        <v>1936700</v>
      </c>
      <c r="D1184" s="1">
        <v>0</v>
      </c>
    </row>
    <row r="1185" spans="1:4" x14ac:dyDescent="0.25">
      <c r="A1185" s="2">
        <v>39661</v>
      </c>
      <c r="B1185" s="1" t="s">
        <v>8</v>
      </c>
      <c r="C1185" s="1">
        <f>1944*(1000)</f>
        <v>1944000</v>
      </c>
      <c r="D1185" s="1">
        <v>0</v>
      </c>
    </row>
    <row r="1186" spans="1:4" x14ac:dyDescent="0.25">
      <c r="A1186" s="2">
        <v>39692</v>
      </c>
      <c r="B1186" s="1" t="s">
        <v>8</v>
      </c>
      <c r="C1186" s="1">
        <f>1924.1*(1000)</f>
        <v>1924100</v>
      </c>
      <c r="D1186" s="1">
        <v>0</v>
      </c>
    </row>
    <row r="1187" spans="1:4" x14ac:dyDescent="0.25">
      <c r="A1187" s="2">
        <v>39722</v>
      </c>
      <c r="B1187" s="1" t="s">
        <v>8</v>
      </c>
      <c r="C1187" s="1">
        <f>1940.6*(1000)</f>
        <v>1940600</v>
      </c>
      <c r="D1187" s="1">
        <v>0</v>
      </c>
    </row>
    <row r="1188" spans="1:4" x14ac:dyDescent="0.25">
      <c r="A1188" s="2">
        <v>39753</v>
      </c>
      <c r="B1188" s="1" t="s">
        <v>8</v>
      </c>
      <c r="C1188" s="1">
        <f>1942.5*(1000)</f>
        <v>1942500</v>
      </c>
      <c r="D1188" s="1">
        <v>0</v>
      </c>
    </row>
    <row r="1189" spans="1:4" x14ac:dyDescent="0.25">
      <c r="A1189" s="2">
        <v>39783</v>
      </c>
      <c r="B1189" s="1" t="s">
        <v>8</v>
      </c>
      <c r="C1189" s="1">
        <f>1940.6*(1000)</f>
        <v>1940600</v>
      </c>
      <c r="D1189" s="1">
        <v>0</v>
      </c>
    </row>
    <row r="1190" spans="1:4" x14ac:dyDescent="0.25">
      <c r="A1190" s="2">
        <v>39814</v>
      </c>
      <c r="B1190" s="1" t="s">
        <v>8</v>
      </c>
      <c r="C1190" s="1">
        <f>1931.4*(1000)</f>
        <v>1931400</v>
      </c>
      <c r="D1190" s="1">
        <v>0</v>
      </c>
    </row>
    <row r="1191" spans="1:4" x14ac:dyDescent="0.25">
      <c r="A1191" s="2">
        <v>39845</v>
      </c>
      <c r="B1191" s="1" t="s">
        <v>8</v>
      </c>
      <c r="C1191" s="1">
        <f>1928.7*(1000)</f>
        <v>1928700</v>
      </c>
      <c r="D1191" s="1">
        <v>0</v>
      </c>
    </row>
    <row r="1192" spans="1:4" x14ac:dyDescent="0.25">
      <c r="A1192" s="2">
        <v>39873</v>
      </c>
      <c r="B1192" s="1" t="s">
        <v>8</v>
      </c>
      <c r="C1192" s="1">
        <f>1917.4*(1000)</f>
        <v>1917400</v>
      </c>
      <c r="D1192" s="1">
        <v>0</v>
      </c>
    </row>
    <row r="1193" spans="1:4" x14ac:dyDescent="0.25">
      <c r="A1193" s="2">
        <v>39904</v>
      </c>
      <c r="B1193" s="1" t="s">
        <v>8</v>
      </c>
      <c r="C1193" s="1">
        <f>1904*(1000)</f>
        <v>1904000</v>
      </c>
      <c r="D1193" s="1">
        <v>0</v>
      </c>
    </row>
    <row r="1194" spans="1:4" x14ac:dyDescent="0.25">
      <c r="A1194" s="2">
        <v>39934</v>
      </c>
      <c r="B1194" s="1" t="s">
        <v>8</v>
      </c>
      <c r="C1194" s="1">
        <f>1904.4*(1000)</f>
        <v>1904400</v>
      </c>
      <c r="D1194" s="1">
        <v>0</v>
      </c>
    </row>
    <row r="1195" spans="1:4" x14ac:dyDescent="0.25">
      <c r="A1195" s="2">
        <v>39965</v>
      </c>
      <c r="B1195" s="1" t="s">
        <v>8</v>
      </c>
      <c r="C1195" s="1">
        <f>1896.7*(1000)</f>
        <v>1896700</v>
      </c>
      <c r="D1195" s="1">
        <v>0</v>
      </c>
    </row>
    <row r="1196" spans="1:4" x14ac:dyDescent="0.25">
      <c r="A1196" s="2">
        <v>39995</v>
      </c>
      <c r="B1196" s="1" t="s">
        <v>8</v>
      </c>
      <c r="C1196" s="1">
        <f>1894.1*(1000)</f>
        <v>1894100</v>
      </c>
      <c r="D1196" s="1">
        <v>0</v>
      </c>
    </row>
    <row r="1197" spans="1:4" x14ac:dyDescent="0.25">
      <c r="A1197" s="2">
        <v>40026</v>
      </c>
      <c r="B1197" s="1" t="s">
        <v>8</v>
      </c>
      <c r="C1197" s="1">
        <f>1894.2*(1000)</f>
        <v>1894200</v>
      </c>
      <c r="D1197" s="1">
        <v>0</v>
      </c>
    </row>
    <row r="1198" spans="1:4" x14ac:dyDescent="0.25">
      <c r="A1198" s="2">
        <v>40057</v>
      </c>
      <c r="B1198" s="1" t="s">
        <v>8</v>
      </c>
      <c r="C1198" s="1">
        <f>1892.7*(1000)</f>
        <v>1892700</v>
      </c>
      <c r="D1198" s="1">
        <v>0</v>
      </c>
    </row>
    <row r="1199" spans="1:4" x14ac:dyDescent="0.25">
      <c r="A1199" s="2">
        <v>40087</v>
      </c>
      <c r="B1199" s="1" t="s">
        <v>8</v>
      </c>
      <c r="C1199" s="1">
        <f>1885.7*(1000)</f>
        <v>1885700</v>
      </c>
      <c r="D1199" s="1">
        <v>0</v>
      </c>
    </row>
    <row r="1200" spans="1:4" x14ac:dyDescent="0.25">
      <c r="A1200" s="2">
        <v>40118</v>
      </c>
      <c r="B1200" s="1" t="s">
        <v>8</v>
      </c>
      <c r="C1200" s="1">
        <f>1886*(1000)</f>
        <v>1886000</v>
      </c>
      <c r="D1200" s="1">
        <v>0</v>
      </c>
    </row>
    <row r="1201" spans="1:4" x14ac:dyDescent="0.25">
      <c r="A1201" s="2">
        <v>40148</v>
      </c>
      <c r="B1201" s="1" t="s">
        <v>8</v>
      </c>
      <c r="C1201" s="1">
        <f>1878.6*(1000)</f>
        <v>1878600</v>
      </c>
      <c r="D1201" s="1">
        <v>0</v>
      </c>
    </row>
    <row r="1202" spans="1:4" x14ac:dyDescent="0.25">
      <c r="A1202" s="2">
        <v>40179</v>
      </c>
      <c r="B1202" s="1" t="s">
        <v>8</v>
      </c>
      <c r="C1202" s="1">
        <f>1876.3*(1000)</f>
        <v>1876300</v>
      </c>
      <c r="D1202" s="1">
        <v>0</v>
      </c>
    </row>
    <row r="1203" spans="1:4" x14ac:dyDescent="0.25">
      <c r="A1203" s="2">
        <v>40210</v>
      </c>
      <c r="B1203" s="1" t="s">
        <v>8</v>
      </c>
      <c r="C1203" s="1">
        <f>1875*(1000)</f>
        <v>1875000</v>
      </c>
      <c r="D1203" s="1">
        <v>0</v>
      </c>
    </row>
    <row r="1204" spans="1:4" x14ac:dyDescent="0.25">
      <c r="A1204" s="2">
        <v>40238</v>
      </c>
      <c r="B1204" s="1" t="s">
        <v>8</v>
      </c>
      <c r="C1204" s="1">
        <f>1880.8*(1000)</f>
        <v>1880800</v>
      </c>
      <c r="D1204" s="1">
        <v>0</v>
      </c>
    </row>
    <row r="1205" spans="1:4" x14ac:dyDescent="0.25">
      <c r="A1205" s="2">
        <v>40269</v>
      </c>
      <c r="B1205" s="1" t="s">
        <v>8</v>
      </c>
      <c r="C1205" s="1">
        <f>1883.4*(1000)</f>
        <v>1883400</v>
      </c>
      <c r="D1205" s="1">
        <v>0</v>
      </c>
    </row>
    <row r="1206" spans="1:4" x14ac:dyDescent="0.25">
      <c r="A1206" s="2">
        <v>40299</v>
      </c>
      <c r="B1206" s="1" t="s">
        <v>8</v>
      </c>
      <c r="C1206" s="1">
        <f>1889.3*(1000)</f>
        <v>1889300</v>
      </c>
      <c r="D1206" s="1">
        <v>0</v>
      </c>
    </row>
    <row r="1207" spans="1:4" x14ac:dyDescent="0.25">
      <c r="A1207" s="2">
        <v>40330</v>
      </c>
      <c r="B1207" s="1" t="s">
        <v>8</v>
      </c>
      <c r="C1207" s="1">
        <f>1895.5*(1000)</f>
        <v>1895500</v>
      </c>
      <c r="D1207" s="1">
        <v>0</v>
      </c>
    </row>
    <row r="1208" spans="1:4" x14ac:dyDescent="0.25">
      <c r="A1208" s="2">
        <v>40360</v>
      </c>
      <c r="B1208" s="1" t="s">
        <v>8</v>
      </c>
      <c r="C1208" s="1">
        <f>1885.6*(1000)</f>
        <v>1885600</v>
      </c>
      <c r="D1208" s="1">
        <v>0</v>
      </c>
    </row>
    <row r="1209" spans="1:4" x14ac:dyDescent="0.25">
      <c r="A1209" s="2">
        <v>40391</v>
      </c>
      <c r="B1209" s="1" t="s">
        <v>8</v>
      </c>
      <c r="C1209" s="1">
        <f>1884.3*(1000)</f>
        <v>1884300</v>
      </c>
      <c r="D1209" s="1">
        <v>0</v>
      </c>
    </row>
    <row r="1210" spans="1:4" x14ac:dyDescent="0.25">
      <c r="A1210" s="2">
        <v>40422</v>
      </c>
      <c r="B1210" s="1" t="s">
        <v>8</v>
      </c>
      <c r="C1210" s="1">
        <f>1882.1*(1000)</f>
        <v>1882100</v>
      </c>
      <c r="D1210" s="1">
        <v>0</v>
      </c>
    </row>
    <row r="1211" spans="1:4" x14ac:dyDescent="0.25">
      <c r="A1211" s="2">
        <v>40452</v>
      </c>
      <c r="B1211" s="1" t="s">
        <v>8</v>
      </c>
      <c r="C1211" s="1">
        <f>1885.6*(1000)</f>
        <v>1885600</v>
      </c>
      <c r="D1211" s="1">
        <v>0</v>
      </c>
    </row>
    <row r="1212" spans="1:4" x14ac:dyDescent="0.25">
      <c r="A1212" s="2">
        <v>40483</v>
      </c>
      <c r="B1212" s="1" t="s">
        <v>8</v>
      </c>
      <c r="C1212" s="1">
        <f>1885*(1000)</f>
        <v>1885000</v>
      </c>
      <c r="D1212" s="1">
        <v>0</v>
      </c>
    </row>
    <row r="1213" spans="1:4" x14ac:dyDescent="0.25">
      <c r="A1213" s="2">
        <v>40513</v>
      </c>
      <c r="B1213" s="1" t="s">
        <v>8</v>
      </c>
      <c r="C1213" s="1">
        <f>1889.2*(1000)</f>
        <v>1889200</v>
      </c>
      <c r="D1213" s="1">
        <v>0</v>
      </c>
    </row>
    <row r="1214" spans="1:4" x14ac:dyDescent="0.25">
      <c r="A1214" s="2">
        <v>40544</v>
      </c>
      <c r="B1214" s="1" t="s">
        <v>8</v>
      </c>
      <c r="C1214" s="1">
        <f>1892.5*(1000)</f>
        <v>1892500</v>
      </c>
      <c r="D1214" s="1">
        <v>0</v>
      </c>
    </row>
    <row r="1215" spans="1:4" x14ac:dyDescent="0.25">
      <c r="A1215" s="2">
        <v>40575</v>
      </c>
      <c r="B1215" s="1" t="s">
        <v>8</v>
      </c>
      <c r="C1215" s="1">
        <f>1897.2*(1000)</f>
        <v>1897200</v>
      </c>
      <c r="D1215" s="1">
        <v>0</v>
      </c>
    </row>
    <row r="1216" spans="1:4" x14ac:dyDescent="0.25">
      <c r="A1216" s="2">
        <v>40603</v>
      </c>
      <c r="B1216" s="1" t="s">
        <v>8</v>
      </c>
      <c r="C1216" s="1">
        <f>1897.6*(1000)</f>
        <v>1897600</v>
      </c>
      <c r="D1216" s="1">
        <v>0</v>
      </c>
    </row>
    <row r="1217" spans="1:4" x14ac:dyDescent="0.25">
      <c r="A1217" s="2">
        <v>40634</v>
      </c>
      <c r="B1217" s="1" t="s">
        <v>8</v>
      </c>
      <c r="C1217" s="1">
        <f>1899.1*(1000)</f>
        <v>1899100</v>
      </c>
      <c r="D1217" s="1">
        <v>0</v>
      </c>
    </row>
    <row r="1218" spans="1:4" x14ac:dyDescent="0.25">
      <c r="A1218" s="2">
        <v>40664</v>
      </c>
      <c r="B1218" s="1" t="s">
        <v>8</v>
      </c>
      <c r="C1218" s="1">
        <f>1899*(1000)</f>
        <v>1899000</v>
      </c>
      <c r="D1218" s="1">
        <v>0</v>
      </c>
    </row>
    <row r="1219" spans="1:4" x14ac:dyDescent="0.25">
      <c r="A1219" s="2">
        <v>40695</v>
      </c>
      <c r="B1219" s="1" t="s">
        <v>8</v>
      </c>
      <c r="C1219" s="1">
        <f>1894.3*(1000)</f>
        <v>1894300</v>
      </c>
      <c r="D1219" s="1">
        <v>0</v>
      </c>
    </row>
    <row r="1220" spans="1:4" x14ac:dyDescent="0.25">
      <c r="A1220" s="2">
        <v>40725</v>
      </c>
      <c r="B1220" s="1" t="s">
        <v>8</v>
      </c>
      <c r="C1220" s="1">
        <f>1905*(1000)</f>
        <v>1905000</v>
      </c>
      <c r="D1220" s="1">
        <v>0</v>
      </c>
    </row>
    <row r="1221" spans="1:4" x14ac:dyDescent="0.25">
      <c r="A1221" s="2">
        <v>40756</v>
      </c>
      <c r="B1221" s="1" t="s">
        <v>8</v>
      </c>
      <c r="C1221" s="1">
        <f>1903.4*(1000)</f>
        <v>1903400</v>
      </c>
      <c r="D1221" s="1">
        <v>0</v>
      </c>
    </row>
    <row r="1222" spans="1:4" x14ac:dyDescent="0.25">
      <c r="A1222" s="2">
        <v>40787</v>
      </c>
      <c r="B1222" s="1" t="s">
        <v>8</v>
      </c>
      <c r="C1222" s="1">
        <f>1906*(1000)</f>
        <v>1906000</v>
      </c>
      <c r="D1222" s="1">
        <v>0</v>
      </c>
    </row>
    <row r="1223" spans="1:4" x14ac:dyDescent="0.25">
      <c r="A1223" s="2">
        <v>40817</v>
      </c>
      <c r="B1223" s="1" t="s">
        <v>8</v>
      </c>
      <c r="C1223" s="1">
        <f>1907.2*(1000)</f>
        <v>1907200</v>
      </c>
      <c r="D1223" s="1">
        <v>0</v>
      </c>
    </row>
    <row r="1224" spans="1:4" x14ac:dyDescent="0.25">
      <c r="A1224" s="2">
        <v>40848</v>
      </c>
      <c r="B1224" s="1" t="s">
        <v>8</v>
      </c>
      <c r="C1224" s="1">
        <f>1908.8*(1000)</f>
        <v>1908800</v>
      </c>
      <c r="D1224" s="1">
        <v>0</v>
      </c>
    </row>
    <row r="1225" spans="1:4" x14ac:dyDescent="0.25">
      <c r="A1225" s="2">
        <v>40878</v>
      </c>
      <c r="B1225" s="1" t="s">
        <v>8</v>
      </c>
      <c r="C1225" s="1">
        <f>1910.9*(1000)</f>
        <v>1910900</v>
      </c>
      <c r="D1225" s="1">
        <v>0</v>
      </c>
    </row>
    <row r="1226" spans="1:4" x14ac:dyDescent="0.25">
      <c r="A1226" s="2">
        <v>40909</v>
      </c>
      <c r="B1226" s="1" t="s">
        <v>8</v>
      </c>
      <c r="C1226" s="1">
        <f>1914.8*(1000)</f>
        <v>1914800</v>
      </c>
      <c r="D1226" s="1">
        <v>0</v>
      </c>
    </row>
    <row r="1227" spans="1:4" x14ac:dyDescent="0.25">
      <c r="A1227" s="2">
        <v>40940</v>
      </c>
      <c r="B1227" s="1" t="s">
        <v>8</v>
      </c>
      <c r="C1227" s="1">
        <f>1917.4*(1000)</f>
        <v>1917400</v>
      </c>
      <c r="D1227" s="1">
        <v>0</v>
      </c>
    </row>
    <row r="1228" spans="1:4" x14ac:dyDescent="0.25">
      <c r="A1228" s="2">
        <v>40969</v>
      </c>
      <c r="B1228" s="1" t="s">
        <v>8</v>
      </c>
      <c r="C1228" s="1">
        <f>1919.2*(1000)</f>
        <v>1919200</v>
      </c>
      <c r="D1228" s="1">
        <v>0</v>
      </c>
    </row>
    <row r="1229" spans="1:4" x14ac:dyDescent="0.25">
      <c r="A1229" s="2">
        <v>41000</v>
      </c>
      <c r="B1229" s="1" t="s">
        <v>8</v>
      </c>
      <c r="C1229" s="1">
        <f>1929.4*(1000)</f>
        <v>1929400</v>
      </c>
      <c r="D1229" s="1">
        <v>0</v>
      </c>
    </row>
    <row r="1230" spans="1:4" x14ac:dyDescent="0.25">
      <c r="A1230" s="2">
        <v>41030</v>
      </c>
      <c r="B1230" s="1" t="s">
        <v>8</v>
      </c>
      <c r="C1230" s="1">
        <f>1930.6*(1000)</f>
        <v>1930600</v>
      </c>
      <c r="D1230" s="1">
        <v>0</v>
      </c>
    </row>
    <row r="1231" spans="1:4" x14ac:dyDescent="0.25">
      <c r="A1231" s="2">
        <v>41061</v>
      </c>
      <c r="B1231" s="1" t="s">
        <v>8</v>
      </c>
      <c r="C1231" s="1">
        <f>1928.1*(1000)</f>
        <v>1928100</v>
      </c>
      <c r="D1231" s="1">
        <v>0</v>
      </c>
    </row>
    <row r="1232" spans="1:4" x14ac:dyDescent="0.25">
      <c r="A1232" s="2">
        <v>41091</v>
      </c>
      <c r="B1232" s="1" t="s">
        <v>8</v>
      </c>
      <c r="C1232" s="1">
        <f>1924.2*(1000)</f>
        <v>1924200</v>
      </c>
      <c r="D1232" s="1">
        <v>0</v>
      </c>
    </row>
    <row r="1233" spans="1:4" x14ac:dyDescent="0.25">
      <c r="A1233" s="2">
        <v>41122</v>
      </c>
      <c r="B1233" s="1" t="s">
        <v>8</v>
      </c>
      <c r="C1233" s="1">
        <f>1923.1*(1000)</f>
        <v>1923100</v>
      </c>
      <c r="D1233" s="1">
        <v>0</v>
      </c>
    </row>
    <row r="1234" spans="1:4" x14ac:dyDescent="0.25">
      <c r="A1234" s="2">
        <v>41153</v>
      </c>
      <c r="B1234" s="1" t="s">
        <v>8</v>
      </c>
      <c r="C1234" s="1">
        <f>1923.7*(1000)</f>
        <v>1923700</v>
      </c>
      <c r="D1234" s="1">
        <v>0</v>
      </c>
    </row>
    <row r="1235" spans="1:4" x14ac:dyDescent="0.25">
      <c r="A1235" s="2">
        <v>41183</v>
      </c>
      <c r="B1235" s="1" t="s">
        <v>8</v>
      </c>
      <c r="C1235" s="1">
        <f>1927.5*(1000)</f>
        <v>1927500</v>
      </c>
      <c r="D1235" s="1">
        <v>0</v>
      </c>
    </row>
    <row r="1236" spans="1:4" x14ac:dyDescent="0.25">
      <c r="A1236" s="2">
        <v>41214</v>
      </c>
      <c r="B1236" s="1" t="s">
        <v>8</v>
      </c>
      <c r="C1236" s="1">
        <f>1933.8*(1000)</f>
        <v>1933800</v>
      </c>
      <c r="D1236" s="1">
        <v>0</v>
      </c>
    </row>
    <row r="1237" spans="1:4" x14ac:dyDescent="0.25">
      <c r="A1237" s="2">
        <v>41244</v>
      </c>
      <c r="B1237" s="1" t="s">
        <v>8</v>
      </c>
      <c r="C1237" s="1">
        <f>1934.8*(1000)</f>
        <v>1934800</v>
      </c>
      <c r="D1237" s="1">
        <v>0</v>
      </c>
    </row>
    <row r="1238" spans="1:4" x14ac:dyDescent="0.25">
      <c r="A1238" s="2">
        <v>41275</v>
      </c>
      <c r="B1238" s="1" t="s">
        <v>8</v>
      </c>
      <c r="C1238" s="1">
        <f>1938.2*(1000)</f>
        <v>1938200</v>
      </c>
      <c r="D1238" s="1">
        <v>0</v>
      </c>
    </row>
    <row r="1239" spans="1:4" x14ac:dyDescent="0.25">
      <c r="A1239" s="2">
        <v>41306</v>
      </c>
      <c r="B1239" s="1" t="s">
        <v>8</v>
      </c>
      <c r="C1239" s="1">
        <f>1945.1*(1000)</f>
        <v>1945100</v>
      </c>
      <c r="D1239" s="1">
        <v>0</v>
      </c>
    </row>
    <row r="1240" spans="1:4" x14ac:dyDescent="0.25">
      <c r="A1240" s="2">
        <v>41334</v>
      </c>
      <c r="B1240" s="1" t="s">
        <v>8</v>
      </c>
      <c r="C1240" s="1">
        <f>1944.5*(1000)</f>
        <v>1944500</v>
      </c>
      <c r="D1240" s="1">
        <v>0</v>
      </c>
    </row>
    <row r="1241" spans="1:4" x14ac:dyDescent="0.25">
      <c r="A1241" s="2">
        <v>41365</v>
      </c>
      <c r="B1241" s="1" t="s">
        <v>8</v>
      </c>
      <c r="C1241" s="1">
        <f>1946.1*(1000)</f>
        <v>1946100</v>
      </c>
      <c r="D1241" s="1">
        <v>0</v>
      </c>
    </row>
    <row r="1242" spans="1:4" x14ac:dyDescent="0.25">
      <c r="A1242" s="2">
        <v>41395</v>
      </c>
      <c r="B1242" s="1" t="s">
        <v>8</v>
      </c>
      <c r="C1242" s="1">
        <f>1948.5*(1000)</f>
        <v>1948500</v>
      </c>
      <c r="D1242" s="1">
        <v>0</v>
      </c>
    </row>
    <row r="1243" spans="1:4" x14ac:dyDescent="0.25">
      <c r="A1243" s="2">
        <v>41426</v>
      </c>
      <c r="B1243" s="1" t="s">
        <v>8</v>
      </c>
      <c r="C1243" s="1">
        <f>1951.5*(1000)</f>
        <v>1951500</v>
      </c>
      <c r="D1243" s="1">
        <v>0</v>
      </c>
    </row>
    <row r="1244" spans="1:4" x14ac:dyDescent="0.25">
      <c r="A1244" s="2">
        <v>41456</v>
      </c>
      <c r="B1244" s="1" t="s">
        <v>8</v>
      </c>
      <c r="C1244" s="1">
        <f>1949.5*(1000)</f>
        <v>1949500</v>
      </c>
      <c r="D1244" s="1">
        <v>0</v>
      </c>
    </row>
    <row r="1245" spans="1:4" x14ac:dyDescent="0.25">
      <c r="A1245" s="2">
        <v>41487</v>
      </c>
      <c r="B1245" s="1" t="s">
        <v>8</v>
      </c>
      <c r="C1245" s="1">
        <f>1953.1*(1000)</f>
        <v>1953100</v>
      </c>
      <c r="D1245" s="1">
        <v>0</v>
      </c>
    </row>
    <row r="1246" spans="1:4" x14ac:dyDescent="0.25">
      <c r="A1246" s="2">
        <v>41518</v>
      </c>
      <c r="B1246" s="1" t="s">
        <v>8</v>
      </c>
      <c r="C1246" s="1">
        <f>1954.8*(1000)</f>
        <v>1954800</v>
      </c>
      <c r="D1246" s="1">
        <v>0</v>
      </c>
    </row>
    <row r="1247" spans="1:4" x14ac:dyDescent="0.25">
      <c r="A1247" s="2">
        <v>41548</v>
      </c>
      <c r="B1247" s="1" t="s">
        <v>8</v>
      </c>
      <c r="C1247" s="1">
        <f>1964.4*(1000)</f>
        <v>1964400</v>
      </c>
      <c r="D1247" s="1">
        <v>0</v>
      </c>
    </row>
    <row r="1248" spans="1:4" x14ac:dyDescent="0.25">
      <c r="A1248" s="2">
        <v>41579</v>
      </c>
      <c r="B1248" s="1" t="s">
        <v>8</v>
      </c>
      <c r="C1248" s="1">
        <f>1963.4*(1000)</f>
        <v>1963400</v>
      </c>
      <c r="D1248" s="1">
        <v>0</v>
      </c>
    </row>
    <row r="1249" spans="1:4" x14ac:dyDescent="0.25">
      <c r="A1249" s="2">
        <v>41609</v>
      </c>
      <c r="B1249" s="1" t="s">
        <v>8</v>
      </c>
      <c r="C1249" s="1">
        <f>1963.2*(1000)</f>
        <v>1963200</v>
      </c>
      <c r="D1249" s="1">
        <v>0</v>
      </c>
    </row>
    <row r="1250" spans="1:4" x14ac:dyDescent="0.25">
      <c r="A1250" s="2">
        <v>41640</v>
      </c>
      <c r="B1250" s="1" t="s">
        <v>8</v>
      </c>
      <c r="C1250" s="1">
        <f>1953.1*(1000)</f>
        <v>1953100</v>
      </c>
      <c r="D1250" s="1">
        <v>0</v>
      </c>
    </row>
    <row r="1251" spans="1:4" x14ac:dyDescent="0.25">
      <c r="A1251" s="2">
        <v>41671</v>
      </c>
      <c r="B1251" s="1" t="s">
        <v>8</v>
      </c>
      <c r="C1251" s="1">
        <f>1954.5*(1000)</f>
        <v>1954500</v>
      </c>
      <c r="D1251" s="1">
        <v>0</v>
      </c>
    </row>
    <row r="1252" spans="1:4" x14ac:dyDescent="0.25">
      <c r="A1252" s="2">
        <v>41699</v>
      </c>
      <c r="B1252" s="1" t="s">
        <v>8</v>
      </c>
      <c r="C1252" s="1">
        <f>1955.8*(1000)</f>
        <v>1955800</v>
      </c>
      <c r="D1252" s="1">
        <v>0</v>
      </c>
    </row>
    <row r="1253" spans="1:4" x14ac:dyDescent="0.25">
      <c r="A1253" s="2">
        <v>41730</v>
      </c>
      <c r="B1253" s="1" t="s">
        <v>8</v>
      </c>
      <c r="C1253" s="1">
        <f>1959.7*(1000)</f>
        <v>1959700</v>
      </c>
      <c r="D1253" s="1">
        <v>0</v>
      </c>
    </row>
    <row r="1254" spans="1:4" x14ac:dyDescent="0.25">
      <c r="A1254" s="2">
        <v>41760</v>
      </c>
      <c r="B1254" s="1" t="s">
        <v>8</v>
      </c>
      <c r="C1254" s="1">
        <f>1968.2*(1000)</f>
        <v>1968200</v>
      </c>
      <c r="D1254" s="1">
        <v>0</v>
      </c>
    </row>
    <row r="1255" spans="1:4" x14ac:dyDescent="0.25">
      <c r="A1255" s="2">
        <v>41791</v>
      </c>
      <c r="B1255" s="1" t="s">
        <v>8</v>
      </c>
      <c r="C1255" s="1">
        <f>1973.6*(1000)</f>
        <v>1973600</v>
      </c>
      <c r="D1255" s="1">
        <v>0</v>
      </c>
    </row>
    <row r="1256" spans="1:4" x14ac:dyDescent="0.25">
      <c r="A1256" s="2">
        <v>41821</v>
      </c>
      <c r="B1256" s="1" t="s">
        <v>8</v>
      </c>
      <c r="C1256" s="1">
        <f>1981.1*(1000)</f>
        <v>1981100</v>
      </c>
      <c r="D1256" s="1">
        <v>0</v>
      </c>
    </row>
    <row r="1257" spans="1:4" x14ac:dyDescent="0.25">
      <c r="A1257" s="2">
        <v>41852</v>
      </c>
      <c r="B1257" s="1" t="s">
        <v>8</v>
      </c>
      <c r="C1257" s="1">
        <f>1983.2*(1000)</f>
        <v>1983200</v>
      </c>
      <c r="D1257" s="1">
        <v>0</v>
      </c>
    </row>
    <row r="1258" spans="1:4" x14ac:dyDescent="0.25">
      <c r="A1258" s="2">
        <v>41883</v>
      </c>
      <c r="B1258" s="1" t="s">
        <v>8</v>
      </c>
      <c r="C1258" s="1">
        <f>1987.7*(1000)</f>
        <v>1987700</v>
      </c>
      <c r="D1258" s="1">
        <v>0</v>
      </c>
    </row>
    <row r="1259" spans="1:4" x14ac:dyDescent="0.25">
      <c r="A1259" s="2">
        <v>41913</v>
      </c>
      <c r="B1259" s="1" t="s">
        <v>8</v>
      </c>
      <c r="C1259" s="1">
        <f>1987.8*(1000)</f>
        <v>1987800</v>
      </c>
      <c r="D1259" s="1">
        <v>0</v>
      </c>
    </row>
    <row r="1260" spans="1:4" x14ac:dyDescent="0.25">
      <c r="A1260" s="2">
        <v>41944</v>
      </c>
      <c r="B1260" s="1" t="s">
        <v>8</v>
      </c>
      <c r="C1260" s="1">
        <f>1986*(1000)</f>
        <v>1986000</v>
      </c>
      <c r="D1260" s="1">
        <v>0</v>
      </c>
    </row>
    <row r="1261" spans="1:4" x14ac:dyDescent="0.25">
      <c r="A1261" s="2">
        <v>41974</v>
      </c>
      <c r="B1261" s="1" t="s">
        <v>8</v>
      </c>
      <c r="C1261" s="1">
        <f>1992.2*(1000)</f>
        <v>1992200</v>
      </c>
      <c r="D1261" s="1">
        <v>0</v>
      </c>
    </row>
    <row r="1262" spans="1:4" x14ac:dyDescent="0.25">
      <c r="A1262" s="2">
        <v>36526</v>
      </c>
      <c r="B1262" s="1" t="s">
        <v>9</v>
      </c>
      <c r="C1262" s="1">
        <f>388.3*(1000)</f>
        <v>388300</v>
      </c>
      <c r="D1262" s="1">
        <v>0</v>
      </c>
    </row>
    <row r="1263" spans="1:4" x14ac:dyDescent="0.25">
      <c r="A1263" s="2">
        <v>36557</v>
      </c>
      <c r="B1263" s="1" t="s">
        <v>9</v>
      </c>
      <c r="C1263" s="1">
        <f>389.2*(1000)</f>
        <v>389200</v>
      </c>
      <c r="D1263" s="1">
        <v>0</v>
      </c>
    </row>
    <row r="1264" spans="1:4" x14ac:dyDescent="0.25">
      <c r="A1264" s="2">
        <v>36586</v>
      </c>
      <c r="B1264" s="1" t="s">
        <v>9</v>
      </c>
      <c r="C1264" s="1">
        <f>392.8*(1000)</f>
        <v>392800</v>
      </c>
      <c r="D1264" s="1">
        <v>0</v>
      </c>
    </row>
    <row r="1265" spans="1:4" x14ac:dyDescent="0.25">
      <c r="A1265" s="2">
        <v>36617</v>
      </c>
      <c r="B1265" s="1" t="s">
        <v>9</v>
      </c>
      <c r="C1265" s="1">
        <f>390.9*(1000)</f>
        <v>390900</v>
      </c>
      <c r="D1265" s="1">
        <v>0</v>
      </c>
    </row>
    <row r="1266" spans="1:4" x14ac:dyDescent="0.25">
      <c r="A1266" s="2">
        <v>36647</v>
      </c>
      <c r="B1266" s="1" t="s">
        <v>9</v>
      </c>
      <c r="C1266" s="1">
        <f>392.7*(1000)</f>
        <v>392700</v>
      </c>
      <c r="D1266" s="1">
        <v>0</v>
      </c>
    </row>
    <row r="1267" spans="1:4" x14ac:dyDescent="0.25">
      <c r="A1267" s="2">
        <v>36678</v>
      </c>
      <c r="B1267" s="1" t="s">
        <v>9</v>
      </c>
      <c r="C1267" s="1">
        <f>390.8*(1000)</f>
        <v>390800</v>
      </c>
      <c r="D1267" s="1">
        <v>0</v>
      </c>
    </row>
    <row r="1268" spans="1:4" x14ac:dyDescent="0.25">
      <c r="A1268" s="2">
        <v>36708</v>
      </c>
      <c r="B1268" s="1" t="s">
        <v>9</v>
      </c>
      <c r="C1268" s="1">
        <f>391.7*(1000)</f>
        <v>391700</v>
      </c>
      <c r="D1268" s="1">
        <v>0</v>
      </c>
    </row>
    <row r="1269" spans="1:4" x14ac:dyDescent="0.25">
      <c r="A1269" s="2">
        <v>36739</v>
      </c>
      <c r="B1269" s="1" t="s">
        <v>9</v>
      </c>
      <c r="C1269" s="1">
        <f>392.5*(1000)</f>
        <v>392500</v>
      </c>
      <c r="D1269" s="1">
        <v>0</v>
      </c>
    </row>
    <row r="1270" spans="1:4" x14ac:dyDescent="0.25">
      <c r="A1270" s="2">
        <v>36770</v>
      </c>
      <c r="B1270" s="1" t="s">
        <v>9</v>
      </c>
      <c r="C1270" s="1">
        <f>392.5*(1000)</f>
        <v>392500</v>
      </c>
      <c r="D1270" s="1">
        <v>0</v>
      </c>
    </row>
    <row r="1271" spans="1:4" x14ac:dyDescent="0.25">
      <c r="A1271" s="2">
        <v>36800</v>
      </c>
      <c r="B1271" s="1" t="s">
        <v>9</v>
      </c>
      <c r="C1271" s="1">
        <f>390.8*(1000)</f>
        <v>390800</v>
      </c>
      <c r="D1271" s="1">
        <v>0</v>
      </c>
    </row>
    <row r="1272" spans="1:4" x14ac:dyDescent="0.25">
      <c r="A1272" s="2">
        <v>36831</v>
      </c>
      <c r="B1272" s="1" t="s">
        <v>9</v>
      </c>
      <c r="C1272" s="1">
        <f>392.5*(1000)</f>
        <v>392500</v>
      </c>
      <c r="D1272" s="1">
        <v>0</v>
      </c>
    </row>
    <row r="1273" spans="1:4" x14ac:dyDescent="0.25">
      <c r="A1273" s="2">
        <v>36861</v>
      </c>
      <c r="B1273" s="1" t="s">
        <v>9</v>
      </c>
      <c r="C1273" s="1">
        <f>390.8*(1000)</f>
        <v>390800</v>
      </c>
      <c r="D1273" s="1">
        <v>0</v>
      </c>
    </row>
    <row r="1274" spans="1:4" x14ac:dyDescent="0.25">
      <c r="A1274" s="2">
        <v>36892</v>
      </c>
      <c r="B1274" s="1" t="s">
        <v>9</v>
      </c>
      <c r="C1274" s="1">
        <f>391.3*(1000)</f>
        <v>391300</v>
      </c>
      <c r="D1274" s="1">
        <v>0</v>
      </c>
    </row>
    <row r="1275" spans="1:4" x14ac:dyDescent="0.25">
      <c r="A1275" s="2">
        <v>36923</v>
      </c>
      <c r="B1275" s="1" t="s">
        <v>9</v>
      </c>
      <c r="C1275" s="1">
        <f>391.6*(1000)</f>
        <v>391600</v>
      </c>
      <c r="D1275" s="1">
        <v>0</v>
      </c>
    </row>
    <row r="1276" spans="1:4" x14ac:dyDescent="0.25">
      <c r="A1276" s="2">
        <v>36951</v>
      </c>
      <c r="B1276" s="1" t="s">
        <v>9</v>
      </c>
      <c r="C1276" s="1">
        <f>392.1*(1000)</f>
        <v>392100</v>
      </c>
      <c r="D1276" s="1">
        <v>0</v>
      </c>
    </row>
    <row r="1277" spans="1:4" x14ac:dyDescent="0.25">
      <c r="A1277" s="2">
        <v>36982</v>
      </c>
      <c r="B1277" s="1" t="s">
        <v>9</v>
      </c>
      <c r="C1277" s="1">
        <f>391.2*(1000)</f>
        <v>391200</v>
      </c>
      <c r="D1277" s="1">
        <v>0</v>
      </c>
    </row>
    <row r="1278" spans="1:4" x14ac:dyDescent="0.25">
      <c r="A1278" s="2">
        <v>37012</v>
      </c>
      <c r="B1278" s="1" t="s">
        <v>9</v>
      </c>
      <c r="C1278" s="1">
        <f>392.3*(1000)</f>
        <v>392300</v>
      </c>
      <c r="D1278" s="1">
        <v>0</v>
      </c>
    </row>
    <row r="1279" spans="1:4" x14ac:dyDescent="0.25">
      <c r="A1279" s="2">
        <v>37043</v>
      </c>
      <c r="B1279" s="1" t="s">
        <v>9</v>
      </c>
      <c r="C1279" s="1">
        <f>392.4*(1000)</f>
        <v>392400</v>
      </c>
      <c r="D1279" s="1">
        <v>0</v>
      </c>
    </row>
    <row r="1280" spans="1:4" x14ac:dyDescent="0.25">
      <c r="A1280" s="2">
        <v>37073</v>
      </c>
      <c r="B1280" s="1" t="s">
        <v>9</v>
      </c>
      <c r="C1280" s="1">
        <f>391.4*(1000)</f>
        <v>391400</v>
      </c>
      <c r="D1280" s="1">
        <v>0</v>
      </c>
    </row>
    <row r="1281" spans="1:4" x14ac:dyDescent="0.25">
      <c r="A1281" s="2">
        <v>37104</v>
      </c>
      <c r="B1281" s="1" t="s">
        <v>9</v>
      </c>
      <c r="C1281" s="1">
        <f>391*(1000)</f>
        <v>391000</v>
      </c>
      <c r="D1281" s="1">
        <v>0</v>
      </c>
    </row>
    <row r="1282" spans="1:4" x14ac:dyDescent="0.25">
      <c r="A1282" s="2">
        <v>37135</v>
      </c>
      <c r="B1282" s="1" t="s">
        <v>9</v>
      </c>
      <c r="C1282" s="1">
        <f>390.2*(1000)</f>
        <v>390200</v>
      </c>
      <c r="D1282" s="1">
        <v>0</v>
      </c>
    </row>
    <row r="1283" spans="1:4" x14ac:dyDescent="0.25">
      <c r="A1283" s="2">
        <v>37165</v>
      </c>
      <c r="B1283" s="1" t="s">
        <v>9</v>
      </c>
      <c r="C1283" s="1">
        <f>391*(1000)</f>
        <v>391000</v>
      </c>
      <c r="D1283" s="1">
        <v>0</v>
      </c>
    </row>
    <row r="1284" spans="1:4" x14ac:dyDescent="0.25">
      <c r="A1284" s="2">
        <v>37196</v>
      </c>
      <c r="B1284" s="1" t="s">
        <v>9</v>
      </c>
      <c r="C1284" s="1">
        <f>391.3*(1000)</f>
        <v>391300</v>
      </c>
      <c r="D1284" s="1">
        <v>0</v>
      </c>
    </row>
    <row r="1285" spans="1:4" x14ac:dyDescent="0.25">
      <c r="A1285" s="2">
        <v>37226</v>
      </c>
      <c r="B1285" s="1" t="s">
        <v>9</v>
      </c>
      <c r="C1285" s="1">
        <f>391.3*(1000)</f>
        <v>391300</v>
      </c>
      <c r="D1285" s="1">
        <v>0</v>
      </c>
    </row>
    <row r="1286" spans="1:4" x14ac:dyDescent="0.25">
      <c r="A1286" s="2">
        <v>37257</v>
      </c>
      <c r="B1286" s="1" t="s">
        <v>9</v>
      </c>
      <c r="C1286" s="1">
        <f>393.3*(1000)</f>
        <v>393300</v>
      </c>
      <c r="D1286" s="1">
        <v>0</v>
      </c>
    </row>
    <row r="1287" spans="1:4" x14ac:dyDescent="0.25">
      <c r="A1287" s="2">
        <v>37288</v>
      </c>
      <c r="B1287" s="1" t="s">
        <v>9</v>
      </c>
      <c r="C1287" s="1">
        <f>393.9*(1000)</f>
        <v>393900</v>
      </c>
      <c r="D1287" s="1">
        <v>0</v>
      </c>
    </row>
    <row r="1288" spans="1:4" x14ac:dyDescent="0.25">
      <c r="A1288" s="2">
        <v>37316</v>
      </c>
      <c r="B1288" s="1" t="s">
        <v>9</v>
      </c>
      <c r="C1288" s="1">
        <f>392.4*(1000)</f>
        <v>392400</v>
      </c>
      <c r="D1288" s="1">
        <v>0</v>
      </c>
    </row>
    <row r="1289" spans="1:4" x14ac:dyDescent="0.25">
      <c r="A1289" s="2">
        <v>37347</v>
      </c>
      <c r="B1289" s="1" t="s">
        <v>9</v>
      </c>
      <c r="C1289" s="1">
        <f>394*(1000)</f>
        <v>394000</v>
      </c>
      <c r="D1289" s="1">
        <v>0</v>
      </c>
    </row>
    <row r="1290" spans="1:4" x14ac:dyDescent="0.25">
      <c r="A1290" s="2">
        <v>37377</v>
      </c>
      <c r="B1290" s="1" t="s">
        <v>9</v>
      </c>
      <c r="C1290" s="1">
        <f>394.8*(1000)</f>
        <v>394800</v>
      </c>
      <c r="D1290" s="1">
        <v>0</v>
      </c>
    </row>
    <row r="1291" spans="1:4" x14ac:dyDescent="0.25">
      <c r="A1291" s="2">
        <v>37408</v>
      </c>
      <c r="B1291" s="1" t="s">
        <v>9</v>
      </c>
      <c r="C1291" s="1">
        <f>397.6*(1000)</f>
        <v>397600</v>
      </c>
      <c r="D1291" s="1">
        <v>0</v>
      </c>
    </row>
    <row r="1292" spans="1:4" x14ac:dyDescent="0.25">
      <c r="A1292" s="2">
        <v>37438</v>
      </c>
      <c r="B1292" s="1" t="s">
        <v>9</v>
      </c>
      <c r="C1292" s="1">
        <f>395.7*(1000)</f>
        <v>395700</v>
      </c>
      <c r="D1292" s="1">
        <v>0</v>
      </c>
    </row>
    <row r="1293" spans="1:4" x14ac:dyDescent="0.25">
      <c r="A1293" s="2">
        <v>37469</v>
      </c>
      <c r="B1293" s="1" t="s">
        <v>9</v>
      </c>
      <c r="C1293" s="1">
        <f>395.3*(1000)</f>
        <v>395300</v>
      </c>
      <c r="D1293" s="1">
        <v>0</v>
      </c>
    </row>
    <row r="1294" spans="1:4" x14ac:dyDescent="0.25">
      <c r="A1294" s="2">
        <v>37500</v>
      </c>
      <c r="B1294" s="1" t="s">
        <v>9</v>
      </c>
      <c r="C1294" s="1">
        <f>397.1*(1000)</f>
        <v>397100</v>
      </c>
      <c r="D1294" s="1">
        <v>0</v>
      </c>
    </row>
    <row r="1295" spans="1:4" x14ac:dyDescent="0.25">
      <c r="A1295" s="2">
        <v>37530</v>
      </c>
      <c r="B1295" s="1" t="s">
        <v>9</v>
      </c>
      <c r="C1295" s="1">
        <f>397.4*(1000)</f>
        <v>397400</v>
      </c>
      <c r="D1295" s="1">
        <v>0</v>
      </c>
    </row>
    <row r="1296" spans="1:4" x14ac:dyDescent="0.25">
      <c r="A1296" s="2">
        <v>37561</v>
      </c>
      <c r="B1296" s="1" t="s">
        <v>9</v>
      </c>
      <c r="C1296" s="1">
        <f>398.7*(1000)</f>
        <v>398700</v>
      </c>
      <c r="D1296" s="1">
        <v>0</v>
      </c>
    </row>
    <row r="1297" spans="1:4" x14ac:dyDescent="0.25">
      <c r="A1297" s="2">
        <v>37591</v>
      </c>
      <c r="B1297" s="1" t="s">
        <v>9</v>
      </c>
      <c r="C1297" s="1">
        <f>399.8*(1000)</f>
        <v>399800</v>
      </c>
      <c r="D1297" s="1">
        <v>0</v>
      </c>
    </row>
    <row r="1298" spans="1:4" x14ac:dyDescent="0.25">
      <c r="A1298" s="2">
        <v>37622</v>
      </c>
      <c r="B1298" s="1" t="s">
        <v>9</v>
      </c>
      <c r="C1298" s="1">
        <f>399.2*(1000)</f>
        <v>399200</v>
      </c>
      <c r="D1298" s="1">
        <v>0</v>
      </c>
    </row>
    <row r="1299" spans="1:4" x14ac:dyDescent="0.25">
      <c r="A1299" s="2">
        <v>37653</v>
      </c>
      <c r="B1299" s="1" t="s">
        <v>9</v>
      </c>
      <c r="C1299" s="1">
        <f>399.3*(1000)</f>
        <v>399300</v>
      </c>
      <c r="D1299" s="1">
        <v>0</v>
      </c>
    </row>
    <row r="1300" spans="1:4" x14ac:dyDescent="0.25">
      <c r="A1300" s="2">
        <v>37681</v>
      </c>
      <c r="B1300" s="1" t="s">
        <v>9</v>
      </c>
      <c r="C1300" s="1">
        <f>397.3*(1000)</f>
        <v>397300</v>
      </c>
      <c r="D1300" s="1">
        <v>0</v>
      </c>
    </row>
    <row r="1301" spans="1:4" x14ac:dyDescent="0.25">
      <c r="A1301" s="2">
        <v>37712</v>
      </c>
      <c r="B1301" s="1" t="s">
        <v>9</v>
      </c>
      <c r="C1301" s="1">
        <f>400.1*(1000)</f>
        <v>400100</v>
      </c>
      <c r="D1301" s="1">
        <v>0</v>
      </c>
    </row>
    <row r="1302" spans="1:4" x14ac:dyDescent="0.25">
      <c r="A1302" s="2">
        <v>37742</v>
      </c>
      <c r="B1302" s="1" t="s">
        <v>9</v>
      </c>
      <c r="C1302" s="1">
        <f>399.8*(1000)</f>
        <v>399800</v>
      </c>
      <c r="D1302" s="1">
        <v>0</v>
      </c>
    </row>
    <row r="1303" spans="1:4" x14ac:dyDescent="0.25">
      <c r="A1303" s="2">
        <v>37773</v>
      </c>
      <c r="B1303" s="1" t="s">
        <v>9</v>
      </c>
      <c r="C1303" s="1">
        <f>399.6*(1000)</f>
        <v>399600</v>
      </c>
      <c r="D1303" s="1">
        <v>0</v>
      </c>
    </row>
    <row r="1304" spans="1:4" x14ac:dyDescent="0.25">
      <c r="A1304" s="2">
        <v>37803</v>
      </c>
      <c r="B1304" s="1" t="s">
        <v>9</v>
      </c>
      <c r="C1304" s="1">
        <f>399.4*(1000)</f>
        <v>399400</v>
      </c>
      <c r="D1304" s="1">
        <v>0</v>
      </c>
    </row>
    <row r="1305" spans="1:4" x14ac:dyDescent="0.25">
      <c r="A1305" s="2">
        <v>37834</v>
      </c>
      <c r="B1305" s="1" t="s">
        <v>9</v>
      </c>
      <c r="C1305" s="1">
        <f>400.8*(1000)</f>
        <v>400800</v>
      </c>
      <c r="D1305" s="1">
        <v>0</v>
      </c>
    </row>
    <row r="1306" spans="1:4" x14ac:dyDescent="0.25">
      <c r="A1306" s="2">
        <v>37865</v>
      </c>
      <c r="B1306" s="1" t="s">
        <v>9</v>
      </c>
      <c r="C1306" s="1">
        <f>401.4*(1000)</f>
        <v>401400</v>
      </c>
      <c r="D1306" s="1">
        <v>0</v>
      </c>
    </row>
    <row r="1307" spans="1:4" x14ac:dyDescent="0.25">
      <c r="A1307" s="2">
        <v>37895</v>
      </c>
      <c r="B1307" s="1" t="s">
        <v>9</v>
      </c>
      <c r="C1307" s="1">
        <f>402.5*(1000)</f>
        <v>402500</v>
      </c>
      <c r="D1307" s="1">
        <v>0</v>
      </c>
    </row>
    <row r="1308" spans="1:4" x14ac:dyDescent="0.25">
      <c r="A1308" s="2">
        <v>37926</v>
      </c>
      <c r="B1308" s="1" t="s">
        <v>9</v>
      </c>
      <c r="C1308" s="1">
        <f>401.8*(1000)</f>
        <v>401800</v>
      </c>
      <c r="D1308" s="1">
        <v>0</v>
      </c>
    </row>
    <row r="1309" spans="1:4" x14ac:dyDescent="0.25">
      <c r="A1309" s="2">
        <v>37956</v>
      </c>
      <c r="B1309" s="1" t="s">
        <v>9</v>
      </c>
      <c r="C1309" s="1">
        <f>403.7*(1000)</f>
        <v>403700</v>
      </c>
      <c r="D1309" s="1">
        <v>0</v>
      </c>
    </row>
    <row r="1310" spans="1:4" x14ac:dyDescent="0.25">
      <c r="A1310" s="2">
        <v>37987</v>
      </c>
      <c r="B1310" s="1" t="s">
        <v>9</v>
      </c>
      <c r="C1310" s="1">
        <f>403.6*(1000)</f>
        <v>403600</v>
      </c>
      <c r="D1310" s="1">
        <v>0</v>
      </c>
    </row>
    <row r="1311" spans="1:4" x14ac:dyDescent="0.25">
      <c r="A1311" s="2">
        <v>38018</v>
      </c>
      <c r="B1311" s="1" t="s">
        <v>9</v>
      </c>
      <c r="C1311" s="1">
        <f>404.9*(1000)</f>
        <v>404900</v>
      </c>
      <c r="D1311" s="1">
        <v>0</v>
      </c>
    </row>
    <row r="1312" spans="1:4" x14ac:dyDescent="0.25">
      <c r="A1312" s="2">
        <v>38047</v>
      </c>
      <c r="B1312" s="1" t="s">
        <v>9</v>
      </c>
      <c r="C1312" s="1">
        <f>406.3*(1000)</f>
        <v>406300</v>
      </c>
      <c r="D1312" s="1">
        <v>0</v>
      </c>
    </row>
    <row r="1313" spans="1:4" x14ac:dyDescent="0.25">
      <c r="A1313" s="2">
        <v>38078</v>
      </c>
      <c r="B1313" s="1" t="s">
        <v>9</v>
      </c>
      <c r="C1313" s="1">
        <f>410.5*(1000)</f>
        <v>410500</v>
      </c>
      <c r="D1313" s="1">
        <v>0</v>
      </c>
    </row>
    <row r="1314" spans="1:4" x14ac:dyDescent="0.25">
      <c r="A1314" s="2">
        <v>38108</v>
      </c>
      <c r="B1314" s="1" t="s">
        <v>9</v>
      </c>
      <c r="C1314" s="1">
        <f>410.2*(1000)</f>
        <v>410200</v>
      </c>
      <c r="D1314" s="1">
        <v>0</v>
      </c>
    </row>
    <row r="1315" spans="1:4" x14ac:dyDescent="0.25">
      <c r="A1315" s="2">
        <v>38139</v>
      </c>
      <c r="B1315" s="1" t="s">
        <v>9</v>
      </c>
      <c r="C1315" s="1">
        <f>413.3*(1000)</f>
        <v>413300</v>
      </c>
      <c r="D1315" s="1">
        <v>0</v>
      </c>
    </row>
    <row r="1316" spans="1:4" x14ac:dyDescent="0.25">
      <c r="A1316" s="2">
        <v>38169</v>
      </c>
      <c r="B1316" s="1" t="s">
        <v>9</v>
      </c>
      <c r="C1316" s="1">
        <f>412.6*(1000)</f>
        <v>412600</v>
      </c>
      <c r="D1316" s="1">
        <v>0</v>
      </c>
    </row>
    <row r="1317" spans="1:4" x14ac:dyDescent="0.25">
      <c r="A1317" s="2">
        <v>38200</v>
      </c>
      <c r="B1317" s="1" t="s">
        <v>9</v>
      </c>
      <c r="C1317" s="1">
        <f>411.1*(1000)</f>
        <v>411100</v>
      </c>
      <c r="D1317" s="1">
        <v>0</v>
      </c>
    </row>
    <row r="1318" spans="1:4" x14ac:dyDescent="0.25">
      <c r="A1318" s="2">
        <v>38231</v>
      </c>
      <c r="B1318" s="1" t="s">
        <v>9</v>
      </c>
      <c r="C1318" s="1">
        <f>412.8*(1000)</f>
        <v>412800</v>
      </c>
      <c r="D1318" s="1">
        <v>0</v>
      </c>
    </row>
    <row r="1319" spans="1:4" x14ac:dyDescent="0.25">
      <c r="A1319" s="2">
        <v>38261</v>
      </c>
      <c r="B1319" s="1" t="s">
        <v>9</v>
      </c>
      <c r="C1319" s="1">
        <f>413.4*(1000)</f>
        <v>413400</v>
      </c>
      <c r="D1319" s="1">
        <v>0</v>
      </c>
    </row>
    <row r="1320" spans="1:4" x14ac:dyDescent="0.25">
      <c r="A1320" s="2">
        <v>38292</v>
      </c>
      <c r="B1320" s="1" t="s">
        <v>9</v>
      </c>
      <c r="C1320" s="1">
        <f>414.3*(1000)</f>
        <v>414300</v>
      </c>
      <c r="D1320" s="1">
        <v>0</v>
      </c>
    </row>
    <row r="1321" spans="1:4" x14ac:dyDescent="0.25">
      <c r="A1321" s="2">
        <v>38322</v>
      </c>
      <c r="B1321" s="1" t="s">
        <v>9</v>
      </c>
      <c r="C1321" s="1">
        <f>415.6*(1000)</f>
        <v>415600</v>
      </c>
      <c r="D1321" s="1">
        <v>0</v>
      </c>
    </row>
    <row r="1322" spans="1:4" x14ac:dyDescent="0.25">
      <c r="A1322" s="2">
        <v>38353</v>
      </c>
      <c r="B1322" s="1" t="s">
        <v>9</v>
      </c>
      <c r="C1322" s="1">
        <f>413.1*(1000)</f>
        <v>413100</v>
      </c>
      <c r="D1322" s="1">
        <v>0</v>
      </c>
    </row>
    <row r="1323" spans="1:4" x14ac:dyDescent="0.25">
      <c r="A1323" s="2">
        <v>38384</v>
      </c>
      <c r="B1323" s="1" t="s">
        <v>9</v>
      </c>
      <c r="C1323" s="1">
        <f>416.6*(1000)</f>
        <v>416600</v>
      </c>
      <c r="D1323" s="1">
        <v>0</v>
      </c>
    </row>
    <row r="1324" spans="1:4" x14ac:dyDescent="0.25">
      <c r="A1324" s="2">
        <v>38412</v>
      </c>
      <c r="B1324" s="1" t="s">
        <v>9</v>
      </c>
      <c r="C1324" s="1">
        <f>417.4*(1000)</f>
        <v>417400</v>
      </c>
      <c r="D1324" s="1">
        <v>0</v>
      </c>
    </row>
    <row r="1325" spans="1:4" x14ac:dyDescent="0.25">
      <c r="A1325" s="2">
        <v>38443</v>
      </c>
      <c r="B1325" s="1" t="s">
        <v>9</v>
      </c>
      <c r="C1325" s="1">
        <f>416.1*(1000)</f>
        <v>416100</v>
      </c>
      <c r="D1325" s="1">
        <v>0</v>
      </c>
    </row>
    <row r="1326" spans="1:4" x14ac:dyDescent="0.25">
      <c r="A1326" s="2">
        <v>38473</v>
      </c>
      <c r="B1326" s="1" t="s">
        <v>9</v>
      </c>
      <c r="C1326" s="1">
        <f>417.3*(1000)</f>
        <v>417300</v>
      </c>
      <c r="D1326" s="1">
        <v>0</v>
      </c>
    </row>
    <row r="1327" spans="1:4" x14ac:dyDescent="0.25">
      <c r="A1327" s="2">
        <v>38504</v>
      </c>
      <c r="B1327" s="1" t="s">
        <v>9</v>
      </c>
      <c r="C1327" s="1">
        <f>419*(1000)</f>
        <v>419000</v>
      </c>
      <c r="D1327" s="1">
        <v>0</v>
      </c>
    </row>
    <row r="1328" spans="1:4" x14ac:dyDescent="0.25">
      <c r="A1328" s="2">
        <v>38534</v>
      </c>
      <c r="B1328" s="1" t="s">
        <v>9</v>
      </c>
      <c r="C1328" s="1">
        <f>422*(1000)</f>
        <v>422000</v>
      </c>
      <c r="D1328" s="1">
        <v>0</v>
      </c>
    </row>
    <row r="1329" spans="1:4" x14ac:dyDescent="0.25">
      <c r="A1329" s="2">
        <v>38565</v>
      </c>
      <c r="B1329" s="1" t="s">
        <v>9</v>
      </c>
      <c r="C1329" s="1">
        <f>420.9*(1000)</f>
        <v>420900</v>
      </c>
      <c r="D1329" s="1">
        <v>0</v>
      </c>
    </row>
    <row r="1330" spans="1:4" x14ac:dyDescent="0.25">
      <c r="A1330" s="2">
        <v>38596</v>
      </c>
      <c r="B1330" s="1" t="s">
        <v>9</v>
      </c>
      <c r="C1330" s="1">
        <f>423*(1000)</f>
        <v>423000</v>
      </c>
      <c r="D1330" s="1">
        <v>0</v>
      </c>
    </row>
    <row r="1331" spans="1:4" x14ac:dyDescent="0.25">
      <c r="A1331" s="2">
        <v>38626</v>
      </c>
      <c r="B1331" s="1" t="s">
        <v>9</v>
      </c>
      <c r="C1331" s="1">
        <f>424.4*(1000)</f>
        <v>424400</v>
      </c>
      <c r="D1331" s="1">
        <v>0</v>
      </c>
    </row>
    <row r="1332" spans="1:4" x14ac:dyDescent="0.25">
      <c r="A1332" s="2">
        <v>38657</v>
      </c>
      <c r="B1332" s="1" t="s">
        <v>9</v>
      </c>
      <c r="C1332" s="1">
        <f>425.7*(1000)</f>
        <v>425700</v>
      </c>
      <c r="D1332" s="1">
        <v>0</v>
      </c>
    </row>
    <row r="1333" spans="1:4" x14ac:dyDescent="0.25">
      <c r="A1333" s="2">
        <v>38687</v>
      </c>
      <c r="B1333" s="1" t="s">
        <v>9</v>
      </c>
      <c r="C1333" s="1">
        <f>425.6*(1000)</f>
        <v>425600</v>
      </c>
      <c r="D1333" s="1">
        <v>0</v>
      </c>
    </row>
    <row r="1334" spans="1:4" x14ac:dyDescent="0.25">
      <c r="A1334" s="2">
        <v>38718</v>
      </c>
      <c r="B1334" s="1" t="s">
        <v>9</v>
      </c>
      <c r="C1334" s="1">
        <f>427.4*(1000)</f>
        <v>427400</v>
      </c>
      <c r="D1334" s="1">
        <v>0</v>
      </c>
    </row>
    <row r="1335" spans="1:4" x14ac:dyDescent="0.25">
      <c r="A1335" s="2">
        <v>38749</v>
      </c>
      <c r="B1335" s="1" t="s">
        <v>9</v>
      </c>
      <c r="C1335" s="1">
        <f>430.2*(1000)</f>
        <v>430200</v>
      </c>
      <c r="D1335" s="1">
        <v>0</v>
      </c>
    </row>
    <row r="1336" spans="1:4" x14ac:dyDescent="0.25">
      <c r="A1336" s="2">
        <v>38777</v>
      </c>
      <c r="B1336" s="1" t="s">
        <v>9</v>
      </c>
      <c r="C1336" s="1">
        <f>431*(1000)</f>
        <v>431000</v>
      </c>
      <c r="D1336" s="1">
        <v>0</v>
      </c>
    </row>
    <row r="1337" spans="1:4" x14ac:dyDescent="0.25">
      <c r="A1337" s="2">
        <v>38808</v>
      </c>
      <c r="B1337" s="1" t="s">
        <v>9</v>
      </c>
      <c r="C1337" s="1">
        <f>433.1*(1000)</f>
        <v>433100</v>
      </c>
      <c r="D1337" s="1">
        <v>0</v>
      </c>
    </row>
    <row r="1338" spans="1:4" x14ac:dyDescent="0.25">
      <c r="A1338" s="2">
        <v>38838</v>
      </c>
      <c r="B1338" s="1" t="s">
        <v>9</v>
      </c>
      <c r="C1338" s="1">
        <f>433.8*(1000)</f>
        <v>433800</v>
      </c>
      <c r="D1338" s="1">
        <v>0</v>
      </c>
    </row>
    <row r="1339" spans="1:4" x14ac:dyDescent="0.25">
      <c r="A1339" s="2">
        <v>38869</v>
      </c>
      <c r="B1339" s="1" t="s">
        <v>9</v>
      </c>
      <c r="C1339" s="1">
        <f>437.3*(1000)</f>
        <v>437300</v>
      </c>
      <c r="D1339" s="1">
        <v>0</v>
      </c>
    </row>
    <row r="1340" spans="1:4" x14ac:dyDescent="0.25">
      <c r="A1340" s="2">
        <v>38899</v>
      </c>
      <c r="B1340" s="1" t="s">
        <v>9</v>
      </c>
      <c r="C1340" s="1">
        <f>439.9*(1000)</f>
        <v>439900</v>
      </c>
      <c r="D1340" s="1">
        <v>0</v>
      </c>
    </row>
    <row r="1341" spans="1:4" x14ac:dyDescent="0.25">
      <c r="A1341" s="2">
        <v>38930</v>
      </c>
      <c r="B1341" s="1" t="s">
        <v>9</v>
      </c>
      <c r="C1341" s="1">
        <f>435*(1000)</f>
        <v>435000</v>
      </c>
      <c r="D1341" s="1">
        <v>0</v>
      </c>
    </row>
    <row r="1342" spans="1:4" x14ac:dyDescent="0.25">
      <c r="A1342" s="2">
        <v>38961</v>
      </c>
      <c r="B1342" s="1" t="s">
        <v>9</v>
      </c>
      <c r="C1342" s="1">
        <f>434.1*(1000)</f>
        <v>434100</v>
      </c>
      <c r="D1342" s="1">
        <v>0</v>
      </c>
    </row>
    <row r="1343" spans="1:4" x14ac:dyDescent="0.25">
      <c r="A1343" s="2">
        <v>38991</v>
      </c>
      <c r="B1343" s="1" t="s">
        <v>9</v>
      </c>
      <c r="C1343" s="1">
        <f>434.7*(1000)</f>
        <v>434700</v>
      </c>
      <c r="D1343" s="1">
        <v>0</v>
      </c>
    </row>
    <row r="1344" spans="1:4" x14ac:dyDescent="0.25">
      <c r="A1344" s="2">
        <v>39022</v>
      </c>
      <c r="B1344" s="1" t="s">
        <v>9</v>
      </c>
      <c r="C1344" s="1">
        <f>435.9*(1000)</f>
        <v>435900</v>
      </c>
      <c r="D1344" s="1">
        <v>0</v>
      </c>
    </row>
    <row r="1345" spans="1:4" x14ac:dyDescent="0.25">
      <c r="A1345" s="2">
        <v>39052</v>
      </c>
      <c r="B1345" s="1" t="s">
        <v>9</v>
      </c>
      <c r="C1345" s="1">
        <f>438*(1000)</f>
        <v>438000</v>
      </c>
      <c r="D1345" s="1">
        <v>0</v>
      </c>
    </row>
    <row r="1346" spans="1:4" x14ac:dyDescent="0.25">
      <c r="A1346" s="2">
        <v>39083</v>
      </c>
      <c r="B1346" s="1" t="s">
        <v>9</v>
      </c>
      <c r="C1346" s="1">
        <f>440.3*(1000)</f>
        <v>440300</v>
      </c>
      <c r="D1346" s="1">
        <v>0</v>
      </c>
    </row>
    <row r="1347" spans="1:4" x14ac:dyDescent="0.25">
      <c r="A1347" s="2">
        <v>39114</v>
      </c>
      <c r="B1347" s="1" t="s">
        <v>9</v>
      </c>
      <c r="C1347" s="1">
        <f>441.2*(1000)</f>
        <v>441200</v>
      </c>
      <c r="D1347" s="1">
        <v>0</v>
      </c>
    </row>
    <row r="1348" spans="1:4" x14ac:dyDescent="0.25">
      <c r="A1348" s="2">
        <v>39142</v>
      </c>
      <c r="B1348" s="1" t="s">
        <v>9</v>
      </c>
      <c r="C1348" s="1">
        <f>444*(1000)</f>
        <v>444000</v>
      </c>
      <c r="D1348" s="1">
        <v>0</v>
      </c>
    </row>
    <row r="1349" spans="1:4" x14ac:dyDescent="0.25">
      <c r="A1349" s="2">
        <v>39173</v>
      </c>
      <c r="B1349" s="1" t="s">
        <v>9</v>
      </c>
      <c r="C1349" s="1">
        <f>443.5*(1000)</f>
        <v>443500</v>
      </c>
      <c r="D1349" s="1">
        <v>0</v>
      </c>
    </row>
    <row r="1350" spans="1:4" x14ac:dyDescent="0.25">
      <c r="A1350" s="2">
        <v>39203</v>
      </c>
      <c r="B1350" s="1" t="s">
        <v>9</v>
      </c>
      <c r="C1350" s="1">
        <f>443.6*(1000)</f>
        <v>443600</v>
      </c>
      <c r="D1350" s="1">
        <v>0</v>
      </c>
    </row>
    <row r="1351" spans="1:4" x14ac:dyDescent="0.25">
      <c r="A1351" s="2">
        <v>39234</v>
      </c>
      <c r="B1351" s="1" t="s">
        <v>9</v>
      </c>
      <c r="C1351" s="1">
        <f>443.7*(1000)</f>
        <v>443700</v>
      </c>
      <c r="D1351" s="1">
        <v>0</v>
      </c>
    </row>
    <row r="1352" spans="1:4" x14ac:dyDescent="0.25">
      <c r="A1352" s="2">
        <v>39264</v>
      </c>
      <c r="B1352" s="1" t="s">
        <v>9</v>
      </c>
      <c r="C1352" s="1">
        <f>445.3*(1000)</f>
        <v>445300</v>
      </c>
      <c r="D1352" s="1">
        <v>0</v>
      </c>
    </row>
    <row r="1353" spans="1:4" x14ac:dyDescent="0.25">
      <c r="A1353" s="2">
        <v>39295</v>
      </c>
      <c r="B1353" s="1" t="s">
        <v>9</v>
      </c>
      <c r="C1353" s="1">
        <f>444.9*(1000)</f>
        <v>444900</v>
      </c>
      <c r="D1353" s="1">
        <v>0</v>
      </c>
    </row>
    <row r="1354" spans="1:4" x14ac:dyDescent="0.25">
      <c r="A1354" s="2">
        <v>39326</v>
      </c>
      <c r="B1354" s="1" t="s">
        <v>9</v>
      </c>
      <c r="C1354" s="1">
        <f>443.5*(1000)</f>
        <v>443500</v>
      </c>
      <c r="D1354" s="1">
        <v>0</v>
      </c>
    </row>
    <row r="1355" spans="1:4" x14ac:dyDescent="0.25">
      <c r="A1355" s="2">
        <v>39356</v>
      </c>
      <c r="B1355" s="1" t="s">
        <v>9</v>
      </c>
      <c r="C1355" s="1">
        <f>445.9*(1000)</f>
        <v>445900</v>
      </c>
      <c r="D1355" s="1">
        <v>0</v>
      </c>
    </row>
    <row r="1356" spans="1:4" x14ac:dyDescent="0.25">
      <c r="A1356" s="2">
        <v>39387</v>
      </c>
      <c r="B1356" s="1" t="s">
        <v>9</v>
      </c>
      <c r="C1356" s="1">
        <f>445.8*(1000)</f>
        <v>445800</v>
      </c>
      <c r="D1356" s="1">
        <v>0</v>
      </c>
    </row>
    <row r="1357" spans="1:4" x14ac:dyDescent="0.25">
      <c r="A1357" s="2">
        <v>39417</v>
      </c>
      <c r="B1357" s="1" t="s">
        <v>9</v>
      </c>
      <c r="C1357" s="1">
        <f>446.5*(1000)</f>
        <v>446500</v>
      </c>
      <c r="D1357" s="1">
        <v>0</v>
      </c>
    </row>
    <row r="1358" spans="1:4" x14ac:dyDescent="0.25">
      <c r="A1358" s="2">
        <v>39448</v>
      </c>
      <c r="B1358" s="1" t="s">
        <v>9</v>
      </c>
      <c r="C1358" s="1">
        <f>447.5*(1000)</f>
        <v>447500</v>
      </c>
      <c r="D1358" s="1">
        <v>0</v>
      </c>
    </row>
    <row r="1359" spans="1:4" x14ac:dyDescent="0.25">
      <c r="A1359" s="2">
        <v>39479</v>
      </c>
      <c r="B1359" s="1" t="s">
        <v>9</v>
      </c>
      <c r="C1359" s="1">
        <f>447.5*(1000)</f>
        <v>447500</v>
      </c>
      <c r="D1359" s="1">
        <v>0</v>
      </c>
    </row>
    <row r="1360" spans="1:4" x14ac:dyDescent="0.25">
      <c r="A1360" s="2">
        <v>39508</v>
      </c>
      <c r="B1360" s="1" t="s">
        <v>9</v>
      </c>
      <c r="C1360" s="1">
        <f>448.1*(1000)</f>
        <v>448100</v>
      </c>
      <c r="D1360" s="1">
        <v>0</v>
      </c>
    </row>
    <row r="1361" spans="1:4" x14ac:dyDescent="0.25">
      <c r="A1361" s="2">
        <v>39539</v>
      </c>
      <c r="B1361" s="1" t="s">
        <v>9</v>
      </c>
      <c r="C1361" s="1">
        <f>445.9*(1000)</f>
        <v>445900</v>
      </c>
      <c r="D1361" s="1">
        <v>0</v>
      </c>
    </row>
    <row r="1362" spans="1:4" x14ac:dyDescent="0.25">
      <c r="A1362" s="2">
        <v>39569</v>
      </c>
      <c r="B1362" s="1" t="s">
        <v>9</v>
      </c>
      <c r="C1362" s="1">
        <f>445.6*(1000)</f>
        <v>445600</v>
      </c>
      <c r="D1362" s="1">
        <v>0</v>
      </c>
    </row>
    <row r="1363" spans="1:4" x14ac:dyDescent="0.25">
      <c r="A1363" s="2">
        <v>39600</v>
      </c>
      <c r="B1363" s="1" t="s">
        <v>9</v>
      </c>
      <c r="C1363" s="1">
        <f>444.7*(1000)</f>
        <v>444700</v>
      </c>
      <c r="D1363" s="1">
        <v>0</v>
      </c>
    </row>
    <row r="1364" spans="1:4" x14ac:dyDescent="0.25">
      <c r="A1364" s="2">
        <v>39630</v>
      </c>
      <c r="B1364" s="1" t="s">
        <v>9</v>
      </c>
      <c r="C1364" s="1">
        <f>445.3*(1000)</f>
        <v>445300</v>
      </c>
      <c r="D1364" s="1">
        <v>0</v>
      </c>
    </row>
    <row r="1365" spans="1:4" x14ac:dyDescent="0.25">
      <c r="A1365" s="2">
        <v>39661</v>
      </c>
      <c r="B1365" s="1" t="s">
        <v>9</v>
      </c>
      <c r="C1365" s="1">
        <f>444.2*(1000)</f>
        <v>444200</v>
      </c>
      <c r="D1365" s="1">
        <v>0</v>
      </c>
    </row>
    <row r="1366" spans="1:4" x14ac:dyDescent="0.25">
      <c r="A1366" s="2">
        <v>39692</v>
      </c>
      <c r="B1366" s="1" t="s">
        <v>9</v>
      </c>
      <c r="C1366" s="1">
        <f>443.5*(1000)</f>
        <v>443500</v>
      </c>
      <c r="D1366" s="1">
        <v>0</v>
      </c>
    </row>
    <row r="1367" spans="1:4" x14ac:dyDescent="0.25">
      <c r="A1367" s="2">
        <v>39722</v>
      </c>
      <c r="B1367" s="1" t="s">
        <v>9</v>
      </c>
      <c r="C1367" s="1">
        <f>442.3*(1000)</f>
        <v>442300</v>
      </c>
      <c r="D1367" s="1">
        <v>0</v>
      </c>
    </row>
    <row r="1368" spans="1:4" x14ac:dyDescent="0.25">
      <c r="A1368" s="2">
        <v>39753</v>
      </c>
      <c r="B1368" s="1" t="s">
        <v>9</v>
      </c>
      <c r="C1368" s="1">
        <f>441.5*(1000)</f>
        <v>441500</v>
      </c>
      <c r="D1368" s="1">
        <v>0</v>
      </c>
    </row>
    <row r="1369" spans="1:4" x14ac:dyDescent="0.25">
      <c r="A1369" s="2">
        <v>39783</v>
      </c>
      <c r="B1369" s="1" t="s">
        <v>9</v>
      </c>
      <c r="C1369" s="1">
        <f>439.3*(1000)</f>
        <v>439300</v>
      </c>
      <c r="D1369" s="1">
        <v>0</v>
      </c>
    </row>
    <row r="1370" spans="1:4" x14ac:dyDescent="0.25">
      <c r="A1370" s="2">
        <v>39814</v>
      </c>
      <c r="B1370" s="1" t="s">
        <v>9</v>
      </c>
      <c r="C1370" s="1">
        <f>434.2*(1000)</f>
        <v>434200</v>
      </c>
      <c r="D1370" s="1">
        <v>0</v>
      </c>
    </row>
    <row r="1371" spans="1:4" x14ac:dyDescent="0.25">
      <c r="A1371" s="2">
        <v>39845</v>
      </c>
      <c r="B1371" s="1" t="s">
        <v>9</v>
      </c>
      <c r="C1371" s="1">
        <f>432.6*(1000)</f>
        <v>432600</v>
      </c>
      <c r="D1371" s="1">
        <v>0</v>
      </c>
    </row>
    <row r="1372" spans="1:4" x14ac:dyDescent="0.25">
      <c r="A1372" s="2">
        <v>39873</v>
      </c>
      <c r="B1372" s="1" t="s">
        <v>9</v>
      </c>
      <c r="C1372" s="1">
        <f>428.7*(1000)</f>
        <v>428700</v>
      </c>
      <c r="D1372" s="1">
        <v>0</v>
      </c>
    </row>
    <row r="1373" spans="1:4" x14ac:dyDescent="0.25">
      <c r="A1373" s="2">
        <v>39904</v>
      </c>
      <c r="B1373" s="1" t="s">
        <v>9</v>
      </c>
      <c r="C1373" s="1">
        <f>429*(1000)</f>
        <v>429000</v>
      </c>
      <c r="D1373" s="1">
        <v>0</v>
      </c>
    </row>
    <row r="1374" spans="1:4" x14ac:dyDescent="0.25">
      <c r="A1374" s="2">
        <v>39934</v>
      </c>
      <c r="B1374" s="1" t="s">
        <v>9</v>
      </c>
      <c r="C1374" s="1">
        <f>429.2*(1000)</f>
        <v>429200</v>
      </c>
      <c r="D1374" s="1">
        <v>0</v>
      </c>
    </row>
    <row r="1375" spans="1:4" x14ac:dyDescent="0.25">
      <c r="A1375" s="2">
        <v>39965</v>
      </c>
      <c r="B1375" s="1" t="s">
        <v>9</v>
      </c>
      <c r="C1375" s="1">
        <f>429.3*(1000)</f>
        <v>429300</v>
      </c>
      <c r="D1375" s="1">
        <v>0</v>
      </c>
    </row>
    <row r="1376" spans="1:4" x14ac:dyDescent="0.25">
      <c r="A1376" s="2">
        <v>39995</v>
      </c>
      <c r="B1376" s="1" t="s">
        <v>9</v>
      </c>
      <c r="C1376" s="1">
        <f>428.3*(1000)</f>
        <v>428300</v>
      </c>
      <c r="D1376" s="1">
        <v>0</v>
      </c>
    </row>
    <row r="1377" spans="1:4" x14ac:dyDescent="0.25">
      <c r="A1377" s="2">
        <v>40026</v>
      </c>
      <c r="B1377" s="1" t="s">
        <v>9</v>
      </c>
      <c r="C1377" s="1">
        <f>427.6*(1000)</f>
        <v>427600</v>
      </c>
      <c r="D1377" s="1">
        <v>0</v>
      </c>
    </row>
    <row r="1378" spans="1:4" x14ac:dyDescent="0.25">
      <c r="A1378" s="2">
        <v>40057</v>
      </c>
      <c r="B1378" s="1" t="s">
        <v>9</v>
      </c>
      <c r="C1378" s="1">
        <f>426.8*(1000)</f>
        <v>426800</v>
      </c>
      <c r="D1378" s="1">
        <v>0</v>
      </c>
    </row>
    <row r="1379" spans="1:4" x14ac:dyDescent="0.25">
      <c r="A1379" s="2">
        <v>40087</v>
      </c>
      <c r="B1379" s="1" t="s">
        <v>9</v>
      </c>
      <c r="C1379" s="1">
        <f>427.5*(1000)</f>
        <v>427500</v>
      </c>
      <c r="D1379" s="1">
        <v>0</v>
      </c>
    </row>
    <row r="1380" spans="1:4" x14ac:dyDescent="0.25">
      <c r="A1380" s="2">
        <v>40118</v>
      </c>
      <c r="B1380" s="1" t="s">
        <v>9</v>
      </c>
      <c r="C1380" s="1">
        <f>427.4*(1000)</f>
        <v>427400</v>
      </c>
      <c r="D1380" s="1">
        <v>0</v>
      </c>
    </row>
    <row r="1381" spans="1:4" x14ac:dyDescent="0.25">
      <c r="A1381" s="2">
        <v>40148</v>
      </c>
      <c r="B1381" s="1" t="s">
        <v>9</v>
      </c>
      <c r="C1381" s="1">
        <f>426.5*(1000)</f>
        <v>426500</v>
      </c>
      <c r="D1381" s="1">
        <v>0</v>
      </c>
    </row>
    <row r="1382" spans="1:4" x14ac:dyDescent="0.25">
      <c r="A1382" s="2">
        <v>40179</v>
      </c>
      <c r="B1382" s="1" t="s">
        <v>9</v>
      </c>
      <c r="C1382" s="1">
        <f>427.2*(1000)</f>
        <v>427200</v>
      </c>
      <c r="D1382" s="1">
        <v>0</v>
      </c>
    </row>
    <row r="1383" spans="1:4" x14ac:dyDescent="0.25">
      <c r="A1383" s="2">
        <v>40210</v>
      </c>
      <c r="B1383" s="1" t="s">
        <v>9</v>
      </c>
      <c r="C1383" s="1">
        <f>426.7*(1000)</f>
        <v>426700</v>
      </c>
      <c r="D1383" s="1">
        <v>0</v>
      </c>
    </row>
    <row r="1384" spans="1:4" x14ac:dyDescent="0.25">
      <c r="A1384" s="2">
        <v>40238</v>
      </c>
      <c r="B1384" s="1" t="s">
        <v>9</v>
      </c>
      <c r="C1384" s="1">
        <f>428.1*(1000)</f>
        <v>428100</v>
      </c>
      <c r="D1384" s="1">
        <v>0</v>
      </c>
    </row>
    <row r="1385" spans="1:4" x14ac:dyDescent="0.25">
      <c r="A1385" s="2">
        <v>40269</v>
      </c>
      <c r="B1385" s="1" t="s">
        <v>9</v>
      </c>
      <c r="C1385" s="1">
        <f>427.6*(1000)</f>
        <v>427600</v>
      </c>
      <c r="D1385" s="1">
        <v>0</v>
      </c>
    </row>
    <row r="1386" spans="1:4" x14ac:dyDescent="0.25">
      <c r="A1386" s="2">
        <v>40299</v>
      </c>
      <c r="B1386" s="1" t="s">
        <v>9</v>
      </c>
      <c r="C1386" s="1">
        <f>429.7*(1000)</f>
        <v>429700</v>
      </c>
      <c r="D1386" s="1">
        <v>0</v>
      </c>
    </row>
    <row r="1387" spans="1:4" x14ac:dyDescent="0.25">
      <c r="A1387" s="2">
        <v>40330</v>
      </c>
      <c r="B1387" s="1" t="s">
        <v>9</v>
      </c>
      <c r="C1387" s="1">
        <f>429*(1000)</f>
        <v>429000</v>
      </c>
      <c r="D1387" s="1">
        <v>0</v>
      </c>
    </row>
    <row r="1388" spans="1:4" x14ac:dyDescent="0.25">
      <c r="A1388" s="2">
        <v>40360</v>
      </c>
      <c r="B1388" s="1" t="s">
        <v>9</v>
      </c>
      <c r="C1388" s="1">
        <f>429.2*(1000)</f>
        <v>429200</v>
      </c>
      <c r="D1388" s="1">
        <v>0</v>
      </c>
    </row>
    <row r="1389" spans="1:4" x14ac:dyDescent="0.25">
      <c r="A1389" s="2">
        <v>40391</v>
      </c>
      <c r="B1389" s="1" t="s">
        <v>9</v>
      </c>
      <c r="C1389" s="1">
        <f>429.1*(1000)</f>
        <v>429100</v>
      </c>
      <c r="D1389" s="1">
        <v>0</v>
      </c>
    </row>
    <row r="1390" spans="1:4" x14ac:dyDescent="0.25">
      <c r="A1390" s="2">
        <v>40422</v>
      </c>
      <c r="B1390" s="1" t="s">
        <v>9</v>
      </c>
      <c r="C1390" s="1">
        <f>427.7*(1000)</f>
        <v>427700</v>
      </c>
      <c r="D1390" s="1">
        <v>0</v>
      </c>
    </row>
    <row r="1391" spans="1:4" x14ac:dyDescent="0.25">
      <c r="A1391" s="2">
        <v>40452</v>
      </c>
      <c r="B1391" s="1" t="s">
        <v>9</v>
      </c>
      <c r="C1391" s="1">
        <f>428.3*(1000)</f>
        <v>428300</v>
      </c>
      <c r="D1391" s="1">
        <v>0</v>
      </c>
    </row>
    <row r="1392" spans="1:4" x14ac:dyDescent="0.25">
      <c r="A1392" s="2">
        <v>40483</v>
      </c>
      <c r="B1392" s="1" t="s">
        <v>9</v>
      </c>
      <c r="C1392" s="1">
        <f>427.2*(1000)</f>
        <v>427200</v>
      </c>
      <c r="D1392" s="1">
        <v>0</v>
      </c>
    </row>
    <row r="1393" spans="1:4" x14ac:dyDescent="0.25">
      <c r="A1393" s="2">
        <v>40513</v>
      </c>
      <c r="B1393" s="1" t="s">
        <v>9</v>
      </c>
      <c r="C1393" s="1">
        <f>427.3*(1000)</f>
        <v>427300</v>
      </c>
      <c r="D1393" s="1">
        <v>0</v>
      </c>
    </row>
    <row r="1394" spans="1:4" x14ac:dyDescent="0.25">
      <c r="A1394" s="2">
        <v>40544</v>
      </c>
      <c r="B1394" s="1" t="s">
        <v>9</v>
      </c>
      <c r="C1394" s="1">
        <f>427.4*(1000)</f>
        <v>427400</v>
      </c>
      <c r="D1394" s="1">
        <v>0</v>
      </c>
    </row>
    <row r="1395" spans="1:4" x14ac:dyDescent="0.25">
      <c r="A1395" s="2">
        <v>40575</v>
      </c>
      <c r="B1395" s="1" t="s">
        <v>9</v>
      </c>
      <c r="C1395" s="1">
        <f>428.6*(1000)</f>
        <v>428600</v>
      </c>
      <c r="D1395" s="1">
        <v>0</v>
      </c>
    </row>
    <row r="1396" spans="1:4" x14ac:dyDescent="0.25">
      <c r="A1396" s="2">
        <v>40603</v>
      </c>
      <c r="B1396" s="1" t="s">
        <v>9</v>
      </c>
      <c r="C1396" s="1">
        <f>429.1*(1000)</f>
        <v>429100</v>
      </c>
      <c r="D1396" s="1">
        <v>0</v>
      </c>
    </row>
    <row r="1397" spans="1:4" x14ac:dyDescent="0.25">
      <c r="A1397" s="2">
        <v>40634</v>
      </c>
      <c r="B1397" s="1" t="s">
        <v>9</v>
      </c>
      <c r="C1397" s="1">
        <f>429.1*(1000)</f>
        <v>429100</v>
      </c>
      <c r="D1397" s="1">
        <v>0</v>
      </c>
    </row>
    <row r="1398" spans="1:4" x14ac:dyDescent="0.25">
      <c r="A1398" s="2">
        <v>40664</v>
      </c>
      <c r="B1398" s="1" t="s">
        <v>9</v>
      </c>
      <c r="C1398" s="1">
        <f>430.8*(1000)</f>
        <v>430800</v>
      </c>
      <c r="D1398" s="1">
        <v>0</v>
      </c>
    </row>
    <row r="1399" spans="1:4" x14ac:dyDescent="0.25">
      <c r="A1399" s="2">
        <v>40695</v>
      </c>
      <c r="B1399" s="1" t="s">
        <v>9</v>
      </c>
      <c r="C1399" s="1">
        <f>430.1*(1000)</f>
        <v>430100</v>
      </c>
      <c r="D1399" s="1">
        <v>0</v>
      </c>
    </row>
    <row r="1400" spans="1:4" x14ac:dyDescent="0.25">
      <c r="A1400" s="2">
        <v>40725</v>
      </c>
      <c r="B1400" s="1" t="s">
        <v>9</v>
      </c>
      <c r="C1400" s="1">
        <f>429.8*(1000)</f>
        <v>429800</v>
      </c>
      <c r="D1400" s="1">
        <v>0</v>
      </c>
    </row>
    <row r="1401" spans="1:4" x14ac:dyDescent="0.25">
      <c r="A1401" s="2">
        <v>40756</v>
      </c>
      <c r="B1401" s="1" t="s">
        <v>9</v>
      </c>
      <c r="C1401" s="1">
        <f>431.9*(1000)</f>
        <v>431900</v>
      </c>
      <c r="D1401" s="1">
        <v>0</v>
      </c>
    </row>
    <row r="1402" spans="1:4" x14ac:dyDescent="0.25">
      <c r="A1402" s="2">
        <v>40787</v>
      </c>
      <c r="B1402" s="1" t="s">
        <v>9</v>
      </c>
      <c r="C1402" s="1">
        <f>433.1*(1000)</f>
        <v>433100</v>
      </c>
      <c r="D1402" s="1">
        <v>0</v>
      </c>
    </row>
    <row r="1403" spans="1:4" x14ac:dyDescent="0.25">
      <c r="A1403" s="2">
        <v>40817</v>
      </c>
      <c r="B1403" s="1" t="s">
        <v>9</v>
      </c>
      <c r="C1403" s="1">
        <f>433.9*(1000)</f>
        <v>433900</v>
      </c>
      <c r="D1403" s="1">
        <v>0</v>
      </c>
    </row>
    <row r="1404" spans="1:4" x14ac:dyDescent="0.25">
      <c r="A1404" s="2">
        <v>40848</v>
      </c>
      <c r="B1404" s="1" t="s">
        <v>9</v>
      </c>
      <c r="C1404" s="1">
        <f>434.4*(1000)</f>
        <v>434400</v>
      </c>
      <c r="D1404" s="1">
        <v>0</v>
      </c>
    </row>
    <row r="1405" spans="1:4" x14ac:dyDescent="0.25">
      <c r="A1405" s="2">
        <v>40878</v>
      </c>
      <c r="B1405" s="1" t="s">
        <v>9</v>
      </c>
      <c r="C1405" s="1">
        <f>435.4*(1000)</f>
        <v>435400</v>
      </c>
      <c r="D1405" s="1">
        <v>0</v>
      </c>
    </row>
    <row r="1406" spans="1:4" x14ac:dyDescent="0.25">
      <c r="A1406" s="2">
        <v>40909</v>
      </c>
      <c r="B1406" s="1" t="s">
        <v>9</v>
      </c>
      <c r="C1406" s="1">
        <f>436.4*(1000)</f>
        <v>436400</v>
      </c>
      <c r="D1406" s="1">
        <v>0</v>
      </c>
    </row>
    <row r="1407" spans="1:4" x14ac:dyDescent="0.25">
      <c r="A1407" s="2">
        <v>40940</v>
      </c>
      <c r="B1407" s="1" t="s">
        <v>9</v>
      </c>
      <c r="C1407" s="1">
        <f>436.7*(1000)</f>
        <v>436700</v>
      </c>
      <c r="D1407" s="1">
        <v>0</v>
      </c>
    </row>
    <row r="1408" spans="1:4" x14ac:dyDescent="0.25">
      <c r="A1408" s="2">
        <v>40969</v>
      </c>
      <c r="B1408" s="1" t="s">
        <v>9</v>
      </c>
      <c r="C1408" s="1">
        <f>437.2*(1000)</f>
        <v>437200</v>
      </c>
      <c r="D1408" s="1">
        <v>0</v>
      </c>
    </row>
    <row r="1409" spans="1:4" x14ac:dyDescent="0.25">
      <c r="A1409" s="2">
        <v>41000</v>
      </c>
      <c r="B1409" s="1" t="s">
        <v>9</v>
      </c>
      <c r="C1409" s="1">
        <f>439.4*(1000)</f>
        <v>439400</v>
      </c>
      <c r="D1409" s="1">
        <v>0</v>
      </c>
    </row>
    <row r="1410" spans="1:4" x14ac:dyDescent="0.25">
      <c r="A1410" s="2">
        <v>41030</v>
      </c>
      <c r="B1410" s="1" t="s">
        <v>9</v>
      </c>
      <c r="C1410" s="1">
        <f>440.4*(1000)</f>
        <v>440400</v>
      </c>
      <c r="D1410" s="1">
        <v>0</v>
      </c>
    </row>
    <row r="1411" spans="1:4" x14ac:dyDescent="0.25">
      <c r="A1411" s="2">
        <v>41061</v>
      </c>
      <c r="B1411" s="1" t="s">
        <v>9</v>
      </c>
      <c r="C1411" s="1">
        <f>439.9*(1000)</f>
        <v>439900</v>
      </c>
      <c r="D1411" s="1">
        <v>0</v>
      </c>
    </row>
    <row r="1412" spans="1:4" x14ac:dyDescent="0.25">
      <c r="A1412" s="2">
        <v>41091</v>
      </c>
      <c r="B1412" s="1" t="s">
        <v>9</v>
      </c>
      <c r="C1412" s="1">
        <f>440.7*(1000)</f>
        <v>440700</v>
      </c>
      <c r="D1412" s="1">
        <v>0</v>
      </c>
    </row>
    <row r="1413" spans="1:4" x14ac:dyDescent="0.25">
      <c r="A1413" s="2">
        <v>41122</v>
      </c>
      <c r="B1413" s="1" t="s">
        <v>9</v>
      </c>
      <c r="C1413" s="1">
        <f>441.3*(1000)</f>
        <v>441300</v>
      </c>
      <c r="D1413" s="1">
        <v>0</v>
      </c>
    </row>
    <row r="1414" spans="1:4" x14ac:dyDescent="0.25">
      <c r="A1414" s="2">
        <v>41153</v>
      </c>
      <c r="B1414" s="1" t="s">
        <v>9</v>
      </c>
      <c r="C1414" s="1">
        <f>442.3*(1000)</f>
        <v>442300</v>
      </c>
      <c r="D1414" s="1">
        <v>0</v>
      </c>
    </row>
    <row r="1415" spans="1:4" x14ac:dyDescent="0.25">
      <c r="A1415" s="2">
        <v>41183</v>
      </c>
      <c r="B1415" s="1" t="s">
        <v>9</v>
      </c>
      <c r="C1415" s="1">
        <f>443.2*(1000)</f>
        <v>443200</v>
      </c>
      <c r="D1415" s="1">
        <v>0</v>
      </c>
    </row>
    <row r="1416" spans="1:4" x14ac:dyDescent="0.25">
      <c r="A1416" s="2">
        <v>41214</v>
      </c>
      <c r="B1416" s="1" t="s">
        <v>9</v>
      </c>
      <c r="C1416" s="1">
        <f>444*(1000)</f>
        <v>444000</v>
      </c>
      <c r="D1416" s="1">
        <v>0</v>
      </c>
    </row>
    <row r="1417" spans="1:4" x14ac:dyDescent="0.25">
      <c r="A1417" s="2">
        <v>41244</v>
      </c>
      <c r="B1417" s="1" t="s">
        <v>9</v>
      </c>
      <c r="C1417" s="1">
        <f>445*(1000)</f>
        <v>445000</v>
      </c>
      <c r="D1417" s="1">
        <v>0</v>
      </c>
    </row>
    <row r="1418" spans="1:4" x14ac:dyDescent="0.25">
      <c r="A1418" s="2">
        <v>41275</v>
      </c>
      <c r="B1418" s="1" t="s">
        <v>9</v>
      </c>
      <c r="C1418" s="1">
        <f>445.5*(1000)</f>
        <v>445500</v>
      </c>
      <c r="D1418" s="1">
        <v>0</v>
      </c>
    </row>
    <row r="1419" spans="1:4" x14ac:dyDescent="0.25">
      <c r="A1419" s="2">
        <v>41306</v>
      </c>
      <c r="B1419" s="1" t="s">
        <v>9</v>
      </c>
      <c r="C1419" s="1">
        <f>448.5*(1000)</f>
        <v>448500</v>
      </c>
      <c r="D1419" s="1">
        <v>0</v>
      </c>
    </row>
    <row r="1420" spans="1:4" x14ac:dyDescent="0.25">
      <c r="A1420" s="2">
        <v>41334</v>
      </c>
      <c r="B1420" s="1" t="s">
        <v>9</v>
      </c>
      <c r="C1420" s="1">
        <f>448*(1000)</f>
        <v>448000</v>
      </c>
      <c r="D1420" s="1">
        <v>0</v>
      </c>
    </row>
    <row r="1421" spans="1:4" x14ac:dyDescent="0.25">
      <c r="A1421" s="2">
        <v>41365</v>
      </c>
      <c r="B1421" s="1" t="s">
        <v>9</v>
      </c>
      <c r="C1421" s="1">
        <f>449.5*(1000)</f>
        <v>449500</v>
      </c>
      <c r="D1421" s="1">
        <v>0</v>
      </c>
    </row>
    <row r="1422" spans="1:4" x14ac:dyDescent="0.25">
      <c r="A1422" s="2">
        <v>41395</v>
      </c>
      <c r="B1422" s="1" t="s">
        <v>9</v>
      </c>
      <c r="C1422" s="1">
        <f>448.6*(1000)</f>
        <v>448600</v>
      </c>
      <c r="D1422" s="1">
        <v>0</v>
      </c>
    </row>
    <row r="1423" spans="1:4" x14ac:dyDescent="0.25">
      <c r="A1423" s="2">
        <v>41426</v>
      </c>
      <c r="B1423" s="1" t="s">
        <v>9</v>
      </c>
      <c r="C1423" s="1">
        <f>448.3*(1000)</f>
        <v>448300</v>
      </c>
      <c r="D1423" s="1">
        <v>0</v>
      </c>
    </row>
    <row r="1424" spans="1:4" x14ac:dyDescent="0.25">
      <c r="A1424" s="2">
        <v>41456</v>
      </c>
      <c r="B1424" s="1" t="s">
        <v>9</v>
      </c>
      <c r="C1424" s="1">
        <f>449.1*(1000)</f>
        <v>449100</v>
      </c>
      <c r="D1424" s="1">
        <v>0</v>
      </c>
    </row>
    <row r="1425" spans="1:4" x14ac:dyDescent="0.25">
      <c r="A1425" s="2">
        <v>41487</v>
      </c>
      <c r="B1425" s="1" t="s">
        <v>9</v>
      </c>
      <c r="C1425" s="1">
        <f>449.3*(1000)</f>
        <v>449300</v>
      </c>
      <c r="D1425" s="1">
        <v>0</v>
      </c>
    </row>
    <row r="1426" spans="1:4" x14ac:dyDescent="0.25">
      <c r="A1426" s="2">
        <v>41518</v>
      </c>
      <c r="B1426" s="1" t="s">
        <v>9</v>
      </c>
      <c r="C1426" s="1">
        <f>449.8*(1000)</f>
        <v>449800</v>
      </c>
      <c r="D1426" s="1">
        <v>0</v>
      </c>
    </row>
    <row r="1427" spans="1:4" x14ac:dyDescent="0.25">
      <c r="A1427" s="2">
        <v>41548</v>
      </c>
      <c r="B1427" s="1" t="s">
        <v>9</v>
      </c>
      <c r="C1427" s="1">
        <f>448.3*(1000)</f>
        <v>448300</v>
      </c>
      <c r="D1427" s="1">
        <v>0</v>
      </c>
    </row>
    <row r="1428" spans="1:4" x14ac:dyDescent="0.25">
      <c r="A1428" s="2">
        <v>41579</v>
      </c>
      <c r="B1428" s="1" t="s">
        <v>9</v>
      </c>
      <c r="C1428" s="1">
        <f>449.9*(1000)</f>
        <v>449900</v>
      </c>
      <c r="D1428" s="1">
        <v>0</v>
      </c>
    </row>
    <row r="1429" spans="1:4" x14ac:dyDescent="0.25">
      <c r="A1429" s="2">
        <v>41609</v>
      </c>
      <c r="B1429" s="1" t="s">
        <v>9</v>
      </c>
      <c r="C1429" s="1">
        <f>450.6*(1000)</f>
        <v>450600</v>
      </c>
      <c r="D1429" s="1">
        <v>0</v>
      </c>
    </row>
    <row r="1430" spans="1:4" x14ac:dyDescent="0.25">
      <c r="A1430" s="2">
        <v>41640</v>
      </c>
      <c r="B1430" s="1" t="s">
        <v>9</v>
      </c>
      <c r="C1430" s="1">
        <f>452.4*(1000)</f>
        <v>452400</v>
      </c>
      <c r="D1430" s="1">
        <v>0</v>
      </c>
    </row>
    <row r="1431" spans="1:4" x14ac:dyDescent="0.25">
      <c r="A1431" s="2">
        <v>41671</v>
      </c>
      <c r="B1431" s="1" t="s">
        <v>9</v>
      </c>
      <c r="C1431" s="1">
        <f>452.5*(1000)</f>
        <v>452500</v>
      </c>
      <c r="D1431" s="1">
        <v>0</v>
      </c>
    </row>
    <row r="1432" spans="1:4" x14ac:dyDescent="0.25">
      <c r="A1432" s="2">
        <v>41699</v>
      </c>
      <c r="B1432" s="1" t="s">
        <v>9</v>
      </c>
      <c r="C1432" s="1">
        <f>453.5*(1000)</f>
        <v>453500</v>
      </c>
      <c r="D1432" s="1">
        <v>0</v>
      </c>
    </row>
    <row r="1433" spans="1:4" x14ac:dyDescent="0.25">
      <c r="A1433" s="2">
        <v>41730</v>
      </c>
      <c r="B1433" s="1" t="s">
        <v>9</v>
      </c>
      <c r="C1433" s="1">
        <f>453.5*(1000)</f>
        <v>453500</v>
      </c>
      <c r="D1433" s="1">
        <v>0</v>
      </c>
    </row>
    <row r="1434" spans="1:4" x14ac:dyDescent="0.25">
      <c r="A1434" s="2">
        <v>41760</v>
      </c>
      <c r="B1434" s="1" t="s">
        <v>9</v>
      </c>
      <c r="C1434" s="1">
        <f>452.9*(1000)</f>
        <v>452900</v>
      </c>
      <c r="D1434" s="1">
        <v>0</v>
      </c>
    </row>
    <row r="1435" spans="1:4" x14ac:dyDescent="0.25">
      <c r="A1435" s="2">
        <v>41791</v>
      </c>
      <c r="B1435" s="1" t="s">
        <v>9</v>
      </c>
      <c r="C1435" s="1">
        <f>454.8*(1000)</f>
        <v>454800</v>
      </c>
      <c r="D1435" s="1">
        <v>0</v>
      </c>
    </row>
    <row r="1436" spans="1:4" x14ac:dyDescent="0.25">
      <c r="A1436" s="2">
        <v>41821</v>
      </c>
      <c r="B1436" s="1" t="s">
        <v>9</v>
      </c>
      <c r="C1436" s="1">
        <f>457.5*(1000)</f>
        <v>457500</v>
      </c>
      <c r="D1436" s="1">
        <v>0</v>
      </c>
    </row>
    <row r="1437" spans="1:4" x14ac:dyDescent="0.25">
      <c r="A1437" s="2">
        <v>41852</v>
      </c>
      <c r="B1437" s="1" t="s">
        <v>9</v>
      </c>
      <c r="C1437" s="1">
        <f>457.6*(1000)</f>
        <v>457600</v>
      </c>
      <c r="D1437" s="1">
        <v>0</v>
      </c>
    </row>
    <row r="1438" spans="1:4" x14ac:dyDescent="0.25">
      <c r="A1438" s="2">
        <v>41883</v>
      </c>
      <c r="B1438" s="1" t="s">
        <v>9</v>
      </c>
      <c r="C1438" s="1">
        <f>457.9*(1000)</f>
        <v>457900</v>
      </c>
      <c r="D1438" s="1">
        <v>0</v>
      </c>
    </row>
    <row r="1439" spans="1:4" x14ac:dyDescent="0.25">
      <c r="A1439" s="2">
        <v>41913</v>
      </c>
      <c r="B1439" s="1" t="s">
        <v>9</v>
      </c>
      <c r="C1439" s="1">
        <f>455.1*(1000)</f>
        <v>455100</v>
      </c>
      <c r="D1439" s="1">
        <v>0</v>
      </c>
    </row>
    <row r="1440" spans="1:4" x14ac:dyDescent="0.25">
      <c r="A1440" s="2">
        <v>41944</v>
      </c>
      <c r="B1440" s="1" t="s">
        <v>9</v>
      </c>
      <c r="C1440" s="1">
        <f>454.7*(1000)</f>
        <v>454700</v>
      </c>
      <c r="D1440" s="1">
        <v>0</v>
      </c>
    </row>
    <row r="1441" spans="1:4" x14ac:dyDescent="0.25">
      <c r="A1441" s="2">
        <v>41974</v>
      </c>
      <c r="B1441" s="1" t="s">
        <v>9</v>
      </c>
      <c r="C1441" s="1">
        <f>457.8*(1000)</f>
        <v>457800</v>
      </c>
      <c r="D1441" s="1">
        <v>0</v>
      </c>
    </row>
    <row r="1442" spans="1:4" x14ac:dyDescent="0.25">
      <c r="A1442" s="2">
        <v>36526</v>
      </c>
      <c r="B1442" s="1" t="s">
        <v>10</v>
      </c>
      <c r="C1442" s="1">
        <f>735.7*(1000)</f>
        <v>735700</v>
      </c>
      <c r="D1442" s="1">
        <v>0</v>
      </c>
    </row>
    <row r="1443" spans="1:4" x14ac:dyDescent="0.25">
      <c r="A1443" s="2">
        <v>36557</v>
      </c>
      <c r="B1443" s="1" t="s">
        <v>10</v>
      </c>
      <c r="C1443" s="1">
        <f>737.4*(1000)</f>
        <v>737400</v>
      </c>
      <c r="D1443" s="1">
        <v>0</v>
      </c>
    </row>
    <row r="1444" spans="1:4" x14ac:dyDescent="0.25">
      <c r="A1444" s="2">
        <v>36586</v>
      </c>
      <c r="B1444" s="1" t="s">
        <v>10</v>
      </c>
      <c r="C1444" s="1">
        <f>740.4*(1000)</f>
        <v>740400</v>
      </c>
      <c r="D1444" s="1">
        <v>0</v>
      </c>
    </row>
    <row r="1445" spans="1:4" x14ac:dyDescent="0.25">
      <c r="A1445" s="2">
        <v>36617</v>
      </c>
      <c r="B1445" s="1" t="s">
        <v>10</v>
      </c>
      <c r="C1445" s="1">
        <f>741.9*(1000)</f>
        <v>741900</v>
      </c>
      <c r="D1445" s="1">
        <v>0</v>
      </c>
    </row>
    <row r="1446" spans="1:4" x14ac:dyDescent="0.25">
      <c r="A1446" s="2">
        <v>36647</v>
      </c>
      <c r="B1446" s="1" t="s">
        <v>10</v>
      </c>
      <c r="C1446" s="1">
        <f>743.7*(1000)</f>
        <v>743700</v>
      </c>
      <c r="D1446" s="1">
        <v>0</v>
      </c>
    </row>
    <row r="1447" spans="1:4" x14ac:dyDescent="0.25">
      <c r="A1447" s="2">
        <v>36678</v>
      </c>
      <c r="B1447" s="1" t="s">
        <v>10</v>
      </c>
      <c r="C1447" s="1">
        <f>742*(1000)</f>
        <v>742000</v>
      </c>
      <c r="D1447" s="1">
        <v>0</v>
      </c>
    </row>
    <row r="1448" spans="1:4" x14ac:dyDescent="0.25">
      <c r="A1448" s="2">
        <v>36708</v>
      </c>
      <c r="B1448" s="1" t="s">
        <v>10</v>
      </c>
      <c r="C1448" s="1">
        <f>745.8*(1000)</f>
        <v>745800</v>
      </c>
      <c r="D1448" s="1">
        <v>0</v>
      </c>
    </row>
    <row r="1449" spans="1:4" x14ac:dyDescent="0.25">
      <c r="A1449" s="2">
        <v>36739</v>
      </c>
      <c r="B1449" s="1" t="s">
        <v>10</v>
      </c>
      <c r="C1449" s="1">
        <f>747.8*(1000)</f>
        <v>747800</v>
      </c>
      <c r="D1449" s="1">
        <v>0</v>
      </c>
    </row>
    <row r="1450" spans="1:4" x14ac:dyDescent="0.25">
      <c r="A1450" s="2">
        <v>36770</v>
      </c>
      <c r="B1450" s="1" t="s">
        <v>10</v>
      </c>
      <c r="C1450" s="1">
        <f>748.7*(1000)</f>
        <v>748700</v>
      </c>
      <c r="D1450" s="1">
        <v>0</v>
      </c>
    </row>
    <row r="1451" spans="1:4" x14ac:dyDescent="0.25">
      <c r="A1451" s="2">
        <v>36800</v>
      </c>
      <c r="B1451" s="1" t="s">
        <v>10</v>
      </c>
      <c r="C1451" s="1">
        <f>749.2*(1000)</f>
        <v>749200</v>
      </c>
      <c r="D1451" s="1">
        <v>0</v>
      </c>
    </row>
    <row r="1452" spans="1:4" x14ac:dyDescent="0.25">
      <c r="A1452" s="2">
        <v>36831</v>
      </c>
      <c r="B1452" s="1" t="s">
        <v>10</v>
      </c>
      <c r="C1452" s="1">
        <f>752.2*(1000)</f>
        <v>752200</v>
      </c>
      <c r="D1452" s="1">
        <v>0</v>
      </c>
    </row>
    <row r="1453" spans="1:4" x14ac:dyDescent="0.25">
      <c r="A1453" s="2">
        <v>36861</v>
      </c>
      <c r="B1453" s="1" t="s">
        <v>10</v>
      </c>
      <c r="C1453" s="1">
        <f>754.1*(1000)</f>
        <v>754100</v>
      </c>
      <c r="D1453" s="1">
        <v>0</v>
      </c>
    </row>
    <row r="1454" spans="1:4" x14ac:dyDescent="0.25">
      <c r="A1454" s="2">
        <v>36892</v>
      </c>
      <c r="B1454" s="1" t="s">
        <v>10</v>
      </c>
      <c r="C1454" s="1">
        <f>752.4*(1000)</f>
        <v>752400</v>
      </c>
      <c r="D1454" s="1">
        <v>0</v>
      </c>
    </row>
    <row r="1455" spans="1:4" x14ac:dyDescent="0.25">
      <c r="A1455" s="2">
        <v>36923</v>
      </c>
      <c r="B1455" s="1" t="s">
        <v>10</v>
      </c>
      <c r="C1455" s="1">
        <f>754.9*(1000)</f>
        <v>754900</v>
      </c>
      <c r="D1455" s="1">
        <v>0</v>
      </c>
    </row>
    <row r="1456" spans="1:4" x14ac:dyDescent="0.25">
      <c r="A1456" s="2">
        <v>36951</v>
      </c>
      <c r="B1456" s="1" t="s">
        <v>10</v>
      </c>
      <c r="C1456" s="1">
        <f>757*(1000)</f>
        <v>757000</v>
      </c>
      <c r="D1456" s="1">
        <v>0</v>
      </c>
    </row>
    <row r="1457" spans="1:4" x14ac:dyDescent="0.25">
      <c r="A1457" s="2">
        <v>36982</v>
      </c>
      <c r="B1457" s="1" t="s">
        <v>10</v>
      </c>
      <c r="C1457" s="1">
        <f>756.8*(1000)</f>
        <v>756800</v>
      </c>
      <c r="D1457" s="1">
        <v>0</v>
      </c>
    </row>
    <row r="1458" spans="1:4" x14ac:dyDescent="0.25">
      <c r="A1458" s="2">
        <v>37012</v>
      </c>
      <c r="B1458" s="1" t="s">
        <v>10</v>
      </c>
      <c r="C1458" s="1">
        <f>758.3*(1000)</f>
        <v>758300</v>
      </c>
      <c r="D1458" s="1">
        <v>0</v>
      </c>
    </row>
    <row r="1459" spans="1:4" x14ac:dyDescent="0.25">
      <c r="A1459" s="2">
        <v>37043</v>
      </c>
      <c r="B1459" s="1" t="s">
        <v>10</v>
      </c>
      <c r="C1459" s="1">
        <f>758.7*(1000)</f>
        <v>758700</v>
      </c>
      <c r="D1459" s="1">
        <v>0</v>
      </c>
    </row>
    <row r="1460" spans="1:4" x14ac:dyDescent="0.25">
      <c r="A1460" s="2">
        <v>37073</v>
      </c>
      <c r="B1460" s="1" t="s">
        <v>10</v>
      </c>
      <c r="C1460" s="1">
        <f>758.5*(1000)</f>
        <v>758500</v>
      </c>
      <c r="D1460" s="1">
        <v>0</v>
      </c>
    </row>
    <row r="1461" spans="1:4" x14ac:dyDescent="0.25">
      <c r="A1461" s="2">
        <v>37104</v>
      </c>
      <c r="B1461" s="1" t="s">
        <v>10</v>
      </c>
      <c r="C1461" s="1">
        <f>758.6*(1000)</f>
        <v>758600</v>
      </c>
      <c r="D1461" s="1">
        <v>0</v>
      </c>
    </row>
    <row r="1462" spans="1:4" x14ac:dyDescent="0.25">
      <c r="A1462" s="2">
        <v>37135</v>
      </c>
      <c r="B1462" s="1" t="s">
        <v>10</v>
      </c>
      <c r="C1462" s="1">
        <f>759.1*(1000)</f>
        <v>759100</v>
      </c>
      <c r="D1462" s="1">
        <v>0</v>
      </c>
    </row>
    <row r="1463" spans="1:4" x14ac:dyDescent="0.25">
      <c r="A1463" s="2">
        <v>37165</v>
      </c>
      <c r="B1463" s="1" t="s">
        <v>10</v>
      </c>
      <c r="C1463" s="1">
        <f>756.8*(1000)</f>
        <v>756800</v>
      </c>
      <c r="D1463" s="1">
        <v>0</v>
      </c>
    </row>
    <row r="1464" spans="1:4" x14ac:dyDescent="0.25">
      <c r="A1464" s="2">
        <v>37196</v>
      </c>
      <c r="B1464" s="1" t="s">
        <v>10</v>
      </c>
      <c r="C1464" s="1">
        <f>757.6*(1000)</f>
        <v>757600</v>
      </c>
      <c r="D1464" s="1">
        <v>0</v>
      </c>
    </row>
    <row r="1465" spans="1:4" x14ac:dyDescent="0.25">
      <c r="A1465" s="2">
        <v>37226</v>
      </c>
      <c r="B1465" s="1" t="s">
        <v>10</v>
      </c>
      <c r="C1465" s="1">
        <f>757.6*(1000)</f>
        <v>757600</v>
      </c>
      <c r="D1465" s="1">
        <v>0</v>
      </c>
    </row>
    <row r="1466" spans="1:4" x14ac:dyDescent="0.25">
      <c r="A1466" s="2">
        <v>37257</v>
      </c>
      <c r="B1466" s="1" t="s">
        <v>10</v>
      </c>
      <c r="C1466" s="1">
        <f>760.6*(1000)</f>
        <v>760600</v>
      </c>
      <c r="D1466" s="1">
        <v>0</v>
      </c>
    </row>
    <row r="1467" spans="1:4" x14ac:dyDescent="0.25">
      <c r="A1467" s="2">
        <v>37288</v>
      </c>
      <c r="B1467" s="1" t="s">
        <v>10</v>
      </c>
      <c r="C1467" s="1">
        <f>760.6*(1000)</f>
        <v>760600</v>
      </c>
      <c r="D1467" s="1">
        <v>0</v>
      </c>
    </row>
    <row r="1468" spans="1:4" x14ac:dyDescent="0.25">
      <c r="A1468" s="2">
        <v>37316</v>
      </c>
      <c r="B1468" s="1" t="s">
        <v>10</v>
      </c>
      <c r="C1468" s="1">
        <f>762.5*(1000)</f>
        <v>762500</v>
      </c>
      <c r="D1468" s="1">
        <v>0</v>
      </c>
    </row>
    <row r="1469" spans="1:4" x14ac:dyDescent="0.25">
      <c r="A1469" s="2">
        <v>37347</v>
      </c>
      <c r="B1469" s="1" t="s">
        <v>10</v>
      </c>
      <c r="C1469" s="1">
        <f>764.4*(1000)</f>
        <v>764400</v>
      </c>
      <c r="D1469" s="1">
        <v>0</v>
      </c>
    </row>
    <row r="1470" spans="1:4" x14ac:dyDescent="0.25">
      <c r="A1470" s="2">
        <v>37377</v>
      </c>
      <c r="B1470" s="1" t="s">
        <v>10</v>
      </c>
      <c r="C1470" s="1">
        <f>765.7*(1000)</f>
        <v>765700</v>
      </c>
      <c r="D1470" s="1">
        <v>0</v>
      </c>
    </row>
    <row r="1471" spans="1:4" x14ac:dyDescent="0.25">
      <c r="A1471" s="2">
        <v>37408</v>
      </c>
      <c r="B1471" s="1" t="s">
        <v>10</v>
      </c>
      <c r="C1471" s="1">
        <f>767.2*(1000)</f>
        <v>767200</v>
      </c>
      <c r="D1471" s="1">
        <v>0</v>
      </c>
    </row>
    <row r="1472" spans="1:4" x14ac:dyDescent="0.25">
      <c r="A1472" s="2">
        <v>37438</v>
      </c>
      <c r="B1472" s="1" t="s">
        <v>10</v>
      </c>
      <c r="C1472" s="1">
        <f>767.7*(1000)</f>
        <v>767700</v>
      </c>
      <c r="D1472" s="1">
        <v>0</v>
      </c>
    </row>
    <row r="1473" spans="1:4" x14ac:dyDescent="0.25">
      <c r="A1473" s="2">
        <v>37469</v>
      </c>
      <c r="B1473" s="1" t="s">
        <v>10</v>
      </c>
      <c r="C1473" s="1">
        <f>767.9*(1000)</f>
        <v>767900</v>
      </c>
      <c r="D1473" s="1">
        <v>0</v>
      </c>
    </row>
    <row r="1474" spans="1:4" x14ac:dyDescent="0.25">
      <c r="A1474" s="2">
        <v>37500</v>
      </c>
      <c r="B1474" s="1" t="s">
        <v>10</v>
      </c>
      <c r="C1474" s="1">
        <f>769.7*(1000)</f>
        <v>769700</v>
      </c>
      <c r="D1474" s="1">
        <v>0</v>
      </c>
    </row>
    <row r="1475" spans="1:4" x14ac:dyDescent="0.25">
      <c r="A1475" s="2">
        <v>37530</v>
      </c>
      <c r="B1475" s="1" t="s">
        <v>10</v>
      </c>
      <c r="C1475" s="1">
        <f>767.4*(1000)</f>
        <v>767400</v>
      </c>
      <c r="D1475" s="1">
        <v>0</v>
      </c>
    </row>
    <row r="1476" spans="1:4" x14ac:dyDescent="0.25">
      <c r="A1476" s="2">
        <v>37561</v>
      </c>
      <c r="B1476" s="1" t="s">
        <v>10</v>
      </c>
      <c r="C1476" s="1">
        <f>769.7*(1000)</f>
        <v>769700</v>
      </c>
      <c r="D1476" s="1">
        <v>0</v>
      </c>
    </row>
    <row r="1477" spans="1:4" x14ac:dyDescent="0.25">
      <c r="A1477" s="2">
        <v>37591</v>
      </c>
      <c r="B1477" s="1" t="s">
        <v>10</v>
      </c>
      <c r="C1477" s="1">
        <f>771*(1000)</f>
        <v>771000</v>
      </c>
      <c r="D1477" s="1">
        <v>0</v>
      </c>
    </row>
    <row r="1478" spans="1:4" x14ac:dyDescent="0.25">
      <c r="A1478" s="2">
        <v>37622</v>
      </c>
      <c r="B1478" s="1" t="s">
        <v>10</v>
      </c>
      <c r="C1478" s="1">
        <f>772.1*(1000)</f>
        <v>772100</v>
      </c>
      <c r="D1478" s="1">
        <v>0</v>
      </c>
    </row>
    <row r="1479" spans="1:4" x14ac:dyDescent="0.25">
      <c r="A1479" s="2">
        <v>37653</v>
      </c>
      <c r="B1479" s="1" t="s">
        <v>10</v>
      </c>
      <c r="C1479" s="1">
        <f>772.1*(1000)</f>
        <v>772100</v>
      </c>
      <c r="D1479" s="1">
        <v>0</v>
      </c>
    </row>
    <row r="1480" spans="1:4" x14ac:dyDescent="0.25">
      <c r="A1480" s="2">
        <v>37681</v>
      </c>
      <c r="B1480" s="1" t="s">
        <v>10</v>
      </c>
      <c r="C1480" s="1">
        <f>771.7*(1000)</f>
        <v>771700</v>
      </c>
      <c r="D1480" s="1">
        <v>0</v>
      </c>
    </row>
    <row r="1481" spans="1:4" x14ac:dyDescent="0.25">
      <c r="A1481" s="2">
        <v>37712</v>
      </c>
      <c r="B1481" s="1" t="s">
        <v>10</v>
      </c>
      <c r="C1481" s="1">
        <f>772.6*(1000)</f>
        <v>772600</v>
      </c>
      <c r="D1481" s="1">
        <v>0</v>
      </c>
    </row>
    <row r="1482" spans="1:4" x14ac:dyDescent="0.25">
      <c r="A1482" s="2">
        <v>37742</v>
      </c>
      <c r="B1482" s="1" t="s">
        <v>10</v>
      </c>
      <c r="C1482" s="1">
        <f>773.1*(1000)</f>
        <v>773100</v>
      </c>
      <c r="D1482" s="1">
        <v>0</v>
      </c>
    </row>
    <row r="1483" spans="1:4" x14ac:dyDescent="0.25">
      <c r="A1483" s="2">
        <v>37773</v>
      </c>
      <c r="B1483" s="1" t="s">
        <v>10</v>
      </c>
      <c r="C1483" s="1">
        <f>774.7*(1000)</f>
        <v>774700</v>
      </c>
      <c r="D1483" s="1">
        <v>0</v>
      </c>
    </row>
    <row r="1484" spans="1:4" x14ac:dyDescent="0.25">
      <c r="A1484" s="2">
        <v>37803</v>
      </c>
      <c r="B1484" s="1" t="s">
        <v>10</v>
      </c>
      <c r="C1484" s="1">
        <f>776.4*(1000)</f>
        <v>776400</v>
      </c>
      <c r="D1484" s="1">
        <v>0</v>
      </c>
    </row>
    <row r="1485" spans="1:4" x14ac:dyDescent="0.25">
      <c r="A1485" s="2">
        <v>37834</v>
      </c>
      <c r="B1485" s="1" t="s">
        <v>10</v>
      </c>
      <c r="C1485" s="1">
        <f>777.1*(1000)</f>
        <v>777100</v>
      </c>
      <c r="D1485" s="1">
        <v>0</v>
      </c>
    </row>
    <row r="1486" spans="1:4" x14ac:dyDescent="0.25">
      <c r="A1486" s="2">
        <v>37865</v>
      </c>
      <c r="B1486" s="1" t="s">
        <v>10</v>
      </c>
      <c r="C1486" s="1">
        <f>777.3*(1000)</f>
        <v>777300</v>
      </c>
      <c r="D1486" s="1">
        <v>0</v>
      </c>
    </row>
    <row r="1487" spans="1:4" x14ac:dyDescent="0.25">
      <c r="A1487" s="2">
        <v>37895</v>
      </c>
      <c r="B1487" s="1" t="s">
        <v>10</v>
      </c>
      <c r="C1487" s="1">
        <f>779.1*(1000)</f>
        <v>779100</v>
      </c>
      <c r="D1487" s="1">
        <v>0</v>
      </c>
    </row>
    <row r="1488" spans="1:4" x14ac:dyDescent="0.25">
      <c r="A1488" s="2">
        <v>37926</v>
      </c>
      <c r="B1488" s="1" t="s">
        <v>10</v>
      </c>
      <c r="C1488" s="1">
        <f>781.1*(1000)</f>
        <v>781100</v>
      </c>
      <c r="D1488" s="1">
        <v>0</v>
      </c>
    </row>
    <row r="1489" spans="1:4" x14ac:dyDescent="0.25">
      <c r="A1489" s="2">
        <v>37956</v>
      </c>
      <c r="B1489" s="1" t="s">
        <v>10</v>
      </c>
      <c r="C1489" s="1">
        <f>781.8*(1000)</f>
        <v>781800</v>
      </c>
      <c r="D1489" s="1">
        <v>0</v>
      </c>
    </row>
    <row r="1490" spans="1:4" x14ac:dyDescent="0.25">
      <c r="A1490" s="2">
        <v>37987</v>
      </c>
      <c r="B1490" s="1" t="s">
        <v>10</v>
      </c>
      <c r="C1490" s="1">
        <f>782.5*(1000)</f>
        <v>782500</v>
      </c>
      <c r="D1490" s="1">
        <v>0</v>
      </c>
    </row>
    <row r="1491" spans="1:4" x14ac:dyDescent="0.25">
      <c r="A1491" s="2">
        <v>38018</v>
      </c>
      <c r="B1491" s="1" t="s">
        <v>10</v>
      </c>
      <c r="C1491" s="1">
        <f>784.3*(1000)</f>
        <v>784300</v>
      </c>
      <c r="D1491" s="1">
        <v>0</v>
      </c>
    </row>
    <row r="1492" spans="1:4" x14ac:dyDescent="0.25">
      <c r="A1492" s="2">
        <v>38047</v>
      </c>
      <c r="B1492" s="1" t="s">
        <v>10</v>
      </c>
      <c r="C1492" s="1">
        <f>785.5*(1000)</f>
        <v>785500</v>
      </c>
      <c r="D1492" s="1">
        <v>0</v>
      </c>
    </row>
    <row r="1493" spans="1:4" x14ac:dyDescent="0.25">
      <c r="A1493" s="2">
        <v>38078</v>
      </c>
      <c r="B1493" s="1" t="s">
        <v>10</v>
      </c>
      <c r="C1493" s="1">
        <f>786.6*(1000)</f>
        <v>786600</v>
      </c>
      <c r="D1493" s="1">
        <v>0</v>
      </c>
    </row>
    <row r="1494" spans="1:4" x14ac:dyDescent="0.25">
      <c r="A1494" s="2">
        <v>38108</v>
      </c>
      <c r="B1494" s="1" t="s">
        <v>10</v>
      </c>
      <c r="C1494" s="1">
        <f>788.5*(1000)</f>
        <v>788500</v>
      </c>
      <c r="D1494" s="1">
        <v>0</v>
      </c>
    </row>
    <row r="1495" spans="1:4" x14ac:dyDescent="0.25">
      <c r="A1495" s="2">
        <v>38139</v>
      </c>
      <c r="B1495" s="1" t="s">
        <v>10</v>
      </c>
      <c r="C1495" s="1">
        <f>789.6*(1000)</f>
        <v>789600</v>
      </c>
      <c r="D1495" s="1">
        <v>0</v>
      </c>
    </row>
    <row r="1496" spans="1:4" x14ac:dyDescent="0.25">
      <c r="A1496" s="2">
        <v>38169</v>
      </c>
      <c r="B1496" s="1" t="s">
        <v>10</v>
      </c>
      <c r="C1496" s="1">
        <f>791.1*(1000)</f>
        <v>791100</v>
      </c>
      <c r="D1496" s="1">
        <v>0</v>
      </c>
    </row>
    <row r="1497" spans="1:4" x14ac:dyDescent="0.25">
      <c r="A1497" s="2">
        <v>38200</v>
      </c>
      <c r="B1497" s="1" t="s">
        <v>10</v>
      </c>
      <c r="C1497" s="1">
        <f>791.4*(1000)</f>
        <v>791400</v>
      </c>
      <c r="D1497" s="1">
        <v>0</v>
      </c>
    </row>
    <row r="1498" spans="1:4" x14ac:dyDescent="0.25">
      <c r="A1498" s="2">
        <v>38231</v>
      </c>
      <c r="B1498" s="1" t="s">
        <v>10</v>
      </c>
      <c r="C1498" s="1">
        <f>790.1*(1000)</f>
        <v>790100</v>
      </c>
      <c r="D1498" s="1">
        <v>0</v>
      </c>
    </row>
    <row r="1499" spans="1:4" x14ac:dyDescent="0.25">
      <c r="A1499" s="2">
        <v>38261</v>
      </c>
      <c r="B1499" s="1" t="s">
        <v>10</v>
      </c>
      <c r="C1499" s="1">
        <f>797.1*(1000)</f>
        <v>797100</v>
      </c>
      <c r="D1499" s="1">
        <v>0</v>
      </c>
    </row>
    <row r="1500" spans="1:4" x14ac:dyDescent="0.25">
      <c r="A1500" s="2">
        <v>38292</v>
      </c>
      <c r="B1500" s="1" t="s">
        <v>10</v>
      </c>
      <c r="C1500" s="1">
        <f>798.4*(1000)</f>
        <v>798400</v>
      </c>
      <c r="D1500" s="1">
        <v>0</v>
      </c>
    </row>
    <row r="1501" spans="1:4" x14ac:dyDescent="0.25">
      <c r="A1501" s="2">
        <v>38322</v>
      </c>
      <c r="B1501" s="1" t="s">
        <v>10</v>
      </c>
      <c r="C1501" s="1">
        <f>799.9*(1000)</f>
        <v>799900</v>
      </c>
      <c r="D1501" s="1">
        <v>0</v>
      </c>
    </row>
    <row r="1502" spans="1:4" x14ac:dyDescent="0.25">
      <c r="A1502" s="2">
        <v>38353</v>
      </c>
      <c r="B1502" s="1" t="s">
        <v>10</v>
      </c>
      <c r="C1502" s="1">
        <f>798.6*(1000)</f>
        <v>798600</v>
      </c>
      <c r="D1502" s="1">
        <v>0</v>
      </c>
    </row>
    <row r="1503" spans="1:4" x14ac:dyDescent="0.25">
      <c r="A1503" s="2">
        <v>38384</v>
      </c>
      <c r="B1503" s="1" t="s">
        <v>10</v>
      </c>
      <c r="C1503" s="1">
        <f>799.9*(1000)</f>
        <v>799900</v>
      </c>
      <c r="D1503" s="1">
        <v>0</v>
      </c>
    </row>
    <row r="1504" spans="1:4" x14ac:dyDescent="0.25">
      <c r="A1504" s="2">
        <v>38412</v>
      </c>
      <c r="B1504" s="1" t="s">
        <v>10</v>
      </c>
      <c r="C1504" s="1">
        <f>800.4*(1000)</f>
        <v>800400</v>
      </c>
      <c r="D1504" s="1">
        <v>0</v>
      </c>
    </row>
    <row r="1505" spans="1:4" x14ac:dyDescent="0.25">
      <c r="A1505" s="2">
        <v>38443</v>
      </c>
      <c r="B1505" s="1" t="s">
        <v>10</v>
      </c>
      <c r="C1505" s="1">
        <f>804.9*(1000)</f>
        <v>804900</v>
      </c>
      <c r="D1505" s="1">
        <v>0</v>
      </c>
    </row>
    <row r="1506" spans="1:4" x14ac:dyDescent="0.25">
      <c r="A1506" s="2">
        <v>38473</v>
      </c>
      <c r="B1506" s="1" t="s">
        <v>10</v>
      </c>
      <c r="C1506" s="1">
        <f>806*(1000)</f>
        <v>806000</v>
      </c>
      <c r="D1506" s="1">
        <v>0</v>
      </c>
    </row>
    <row r="1507" spans="1:4" x14ac:dyDescent="0.25">
      <c r="A1507" s="2">
        <v>38504</v>
      </c>
      <c r="B1507" s="1" t="s">
        <v>10</v>
      </c>
      <c r="C1507" s="1">
        <f>805.9*(1000)</f>
        <v>805900</v>
      </c>
      <c r="D1507" s="1">
        <v>0</v>
      </c>
    </row>
    <row r="1508" spans="1:4" x14ac:dyDescent="0.25">
      <c r="A1508" s="2">
        <v>38534</v>
      </c>
      <c r="B1508" s="1" t="s">
        <v>10</v>
      </c>
      <c r="C1508" s="1">
        <f>809.9*(1000)</f>
        <v>809900</v>
      </c>
      <c r="D1508" s="1">
        <v>0</v>
      </c>
    </row>
    <row r="1509" spans="1:4" x14ac:dyDescent="0.25">
      <c r="A1509" s="2">
        <v>38565</v>
      </c>
      <c r="B1509" s="1" t="s">
        <v>10</v>
      </c>
      <c r="C1509" s="1">
        <f>811.8*(1000)</f>
        <v>811800</v>
      </c>
      <c r="D1509" s="1">
        <v>0</v>
      </c>
    </row>
    <row r="1510" spans="1:4" x14ac:dyDescent="0.25">
      <c r="A1510" s="2">
        <v>38596</v>
      </c>
      <c r="B1510" s="1" t="s">
        <v>10</v>
      </c>
      <c r="C1510" s="1">
        <f>813.2*(1000)</f>
        <v>813200</v>
      </c>
      <c r="D1510" s="1">
        <v>0</v>
      </c>
    </row>
    <row r="1511" spans="1:4" x14ac:dyDescent="0.25">
      <c r="A1511" s="2">
        <v>38626</v>
      </c>
      <c r="B1511" s="1" t="s">
        <v>10</v>
      </c>
      <c r="C1511" s="1">
        <f>813.7*(1000)</f>
        <v>813700</v>
      </c>
      <c r="D1511" s="1">
        <v>0</v>
      </c>
    </row>
    <row r="1512" spans="1:4" x14ac:dyDescent="0.25">
      <c r="A1512" s="2">
        <v>38657</v>
      </c>
      <c r="B1512" s="1" t="s">
        <v>10</v>
      </c>
      <c r="C1512" s="1">
        <f>817.8*(1000)</f>
        <v>817800</v>
      </c>
      <c r="D1512" s="1">
        <v>0</v>
      </c>
    </row>
    <row r="1513" spans="1:4" x14ac:dyDescent="0.25">
      <c r="A1513" s="2">
        <v>38687</v>
      </c>
      <c r="B1513" s="1" t="s">
        <v>10</v>
      </c>
      <c r="C1513" s="1">
        <f>818.9*(1000)</f>
        <v>818900</v>
      </c>
      <c r="D1513" s="1">
        <v>0</v>
      </c>
    </row>
    <row r="1514" spans="1:4" x14ac:dyDescent="0.25">
      <c r="A1514" s="2">
        <v>38718</v>
      </c>
      <c r="B1514" s="1" t="s">
        <v>10</v>
      </c>
      <c r="C1514" s="1">
        <f>821.3*(1000)</f>
        <v>821300</v>
      </c>
      <c r="D1514" s="1">
        <v>0</v>
      </c>
    </row>
    <row r="1515" spans="1:4" x14ac:dyDescent="0.25">
      <c r="A1515" s="2">
        <v>38749</v>
      </c>
      <c r="B1515" s="1" t="s">
        <v>10</v>
      </c>
      <c r="C1515" s="1">
        <f>825.8*(1000)</f>
        <v>825800</v>
      </c>
      <c r="D1515" s="1">
        <v>0</v>
      </c>
    </row>
    <row r="1516" spans="1:4" x14ac:dyDescent="0.25">
      <c r="A1516" s="2">
        <v>38777</v>
      </c>
      <c r="B1516" s="1" t="s">
        <v>10</v>
      </c>
      <c r="C1516" s="1">
        <f>828.6*(1000)</f>
        <v>828600</v>
      </c>
      <c r="D1516" s="1">
        <v>0</v>
      </c>
    </row>
    <row r="1517" spans="1:4" x14ac:dyDescent="0.25">
      <c r="A1517" s="2">
        <v>38808</v>
      </c>
      <c r="B1517" s="1" t="s">
        <v>10</v>
      </c>
      <c r="C1517" s="1">
        <f>829.3*(1000)</f>
        <v>829300</v>
      </c>
      <c r="D1517" s="1">
        <v>0</v>
      </c>
    </row>
    <row r="1518" spans="1:4" x14ac:dyDescent="0.25">
      <c r="A1518" s="2">
        <v>38838</v>
      </c>
      <c r="B1518" s="1" t="s">
        <v>10</v>
      </c>
      <c r="C1518" s="1">
        <f>831.1*(1000)</f>
        <v>831100</v>
      </c>
      <c r="D1518" s="1">
        <v>0</v>
      </c>
    </row>
    <row r="1519" spans="1:4" x14ac:dyDescent="0.25">
      <c r="A1519" s="2">
        <v>38869</v>
      </c>
      <c r="B1519" s="1" t="s">
        <v>10</v>
      </c>
      <c r="C1519" s="1">
        <f>835*(1000)</f>
        <v>835000</v>
      </c>
      <c r="D1519" s="1">
        <v>0</v>
      </c>
    </row>
    <row r="1520" spans="1:4" x14ac:dyDescent="0.25">
      <c r="A1520" s="2">
        <v>38899</v>
      </c>
      <c r="B1520" s="1" t="s">
        <v>10</v>
      </c>
      <c r="C1520" s="1">
        <f>833*(1000)</f>
        <v>833000</v>
      </c>
      <c r="D1520" s="1">
        <v>0</v>
      </c>
    </row>
    <row r="1521" spans="1:4" x14ac:dyDescent="0.25">
      <c r="A1521" s="2">
        <v>38930</v>
      </c>
      <c r="B1521" s="1" t="s">
        <v>10</v>
      </c>
      <c r="C1521" s="1">
        <f>834.3*(1000)</f>
        <v>834300</v>
      </c>
      <c r="D1521" s="1">
        <v>0</v>
      </c>
    </row>
    <row r="1522" spans="1:4" x14ac:dyDescent="0.25">
      <c r="A1522" s="2">
        <v>38961</v>
      </c>
      <c r="B1522" s="1" t="s">
        <v>10</v>
      </c>
      <c r="C1522" s="1">
        <f>836.7*(1000)</f>
        <v>836700</v>
      </c>
      <c r="D1522" s="1">
        <v>0</v>
      </c>
    </row>
    <row r="1523" spans="1:4" x14ac:dyDescent="0.25">
      <c r="A1523" s="2">
        <v>38991</v>
      </c>
      <c r="B1523" s="1" t="s">
        <v>10</v>
      </c>
      <c r="C1523" s="1">
        <f>834.4*(1000)</f>
        <v>834400</v>
      </c>
      <c r="D1523" s="1">
        <v>0</v>
      </c>
    </row>
    <row r="1524" spans="1:4" x14ac:dyDescent="0.25">
      <c r="A1524" s="2">
        <v>39022</v>
      </c>
      <c r="B1524" s="1" t="s">
        <v>10</v>
      </c>
      <c r="C1524" s="1">
        <f>836.9*(1000)</f>
        <v>836900</v>
      </c>
      <c r="D1524" s="1">
        <v>0</v>
      </c>
    </row>
    <row r="1525" spans="1:4" x14ac:dyDescent="0.25">
      <c r="A1525" s="2">
        <v>39052</v>
      </c>
      <c r="B1525" s="1" t="s">
        <v>10</v>
      </c>
      <c r="C1525" s="1">
        <f>838.4*(1000)</f>
        <v>838400</v>
      </c>
      <c r="D1525" s="1">
        <v>0</v>
      </c>
    </row>
    <row r="1526" spans="1:4" x14ac:dyDescent="0.25">
      <c r="A1526" s="2">
        <v>39083</v>
      </c>
      <c r="B1526" s="1" t="s">
        <v>10</v>
      </c>
      <c r="C1526" s="1">
        <f>837*(1000)</f>
        <v>837000</v>
      </c>
      <c r="D1526" s="1">
        <v>0</v>
      </c>
    </row>
    <row r="1527" spans="1:4" x14ac:dyDescent="0.25">
      <c r="A1527" s="2">
        <v>39114</v>
      </c>
      <c r="B1527" s="1" t="s">
        <v>10</v>
      </c>
      <c r="C1527" s="1">
        <f>840.2*(1000)</f>
        <v>840200</v>
      </c>
      <c r="D1527" s="1">
        <v>0</v>
      </c>
    </row>
    <row r="1528" spans="1:4" x14ac:dyDescent="0.25">
      <c r="A1528" s="2">
        <v>39142</v>
      </c>
      <c r="B1528" s="1" t="s">
        <v>10</v>
      </c>
      <c r="C1528" s="1">
        <f>844.2*(1000)</f>
        <v>844200</v>
      </c>
      <c r="D1528" s="1">
        <v>0</v>
      </c>
    </row>
    <row r="1529" spans="1:4" x14ac:dyDescent="0.25">
      <c r="A1529" s="2">
        <v>39173</v>
      </c>
      <c r="B1529" s="1" t="s">
        <v>10</v>
      </c>
      <c r="C1529" s="1">
        <f>841.1*(1000)</f>
        <v>841100</v>
      </c>
      <c r="D1529" s="1">
        <v>0</v>
      </c>
    </row>
    <row r="1530" spans="1:4" x14ac:dyDescent="0.25">
      <c r="A1530" s="2">
        <v>39203</v>
      </c>
      <c r="B1530" s="1" t="s">
        <v>10</v>
      </c>
      <c r="C1530" s="1">
        <f>841.4*(1000)</f>
        <v>841400</v>
      </c>
      <c r="D1530" s="1">
        <v>0</v>
      </c>
    </row>
    <row r="1531" spans="1:4" x14ac:dyDescent="0.25">
      <c r="A1531" s="2">
        <v>39234</v>
      </c>
      <c r="B1531" s="1" t="s">
        <v>10</v>
      </c>
      <c r="C1531" s="1">
        <f>843.7*(1000)</f>
        <v>843700</v>
      </c>
      <c r="D1531" s="1">
        <v>0</v>
      </c>
    </row>
    <row r="1532" spans="1:4" x14ac:dyDescent="0.25">
      <c r="A1532" s="2">
        <v>39264</v>
      </c>
      <c r="B1532" s="1" t="s">
        <v>10</v>
      </c>
      <c r="C1532" s="1">
        <f>843.4*(1000)</f>
        <v>843400</v>
      </c>
      <c r="D1532" s="1">
        <v>0</v>
      </c>
    </row>
    <row r="1533" spans="1:4" x14ac:dyDescent="0.25">
      <c r="A1533" s="2">
        <v>39295</v>
      </c>
      <c r="B1533" s="1" t="s">
        <v>10</v>
      </c>
      <c r="C1533" s="1">
        <f>844.4*(1000)</f>
        <v>844400</v>
      </c>
      <c r="D1533" s="1">
        <v>0</v>
      </c>
    </row>
    <row r="1534" spans="1:4" x14ac:dyDescent="0.25">
      <c r="A1534" s="2">
        <v>39326</v>
      </c>
      <c r="B1534" s="1" t="s">
        <v>10</v>
      </c>
      <c r="C1534" s="1">
        <f>844.7*(1000)</f>
        <v>844700</v>
      </c>
      <c r="D1534" s="1">
        <v>0</v>
      </c>
    </row>
    <row r="1535" spans="1:4" x14ac:dyDescent="0.25">
      <c r="A1535" s="2">
        <v>39356</v>
      </c>
      <c r="B1535" s="1" t="s">
        <v>10</v>
      </c>
      <c r="C1535" s="1">
        <f>846.4*(1000)</f>
        <v>846400</v>
      </c>
      <c r="D1535" s="1">
        <v>0</v>
      </c>
    </row>
    <row r="1536" spans="1:4" x14ac:dyDescent="0.25">
      <c r="A1536" s="2">
        <v>39387</v>
      </c>
      <c r="B1536" s="1" t="s">
        <v>10</v>
      </c>
      <c r="C1536" s="1">
        <f>847.9*(1000)</f>
        <v>847900</v>
      </c>
      <c r="D1536" s="1">
        <v>0</v>
      </c>
    </row>
    <row r="1537" spans="1:4" x14ac:dyDescent="0.25">
      <c r="A1537" s="2">
        <v>39417</v>
      </c>
      <c r="B1537" s="1" t="s">
        <v>10</v>
      </c>
      <c r="C1537" s="1">
        <f>849.1*(1000)</f>
        <v>849100</v>
      </c>
      <c r="D1537" s="1">
        <v>0</v>
      </c>
    </row>
    <row r="1538" spans="1:4" x14ac:dyDescent="0.25">
      <c r="A1538" s="2">
        <v>39448</v>
      </c>
      <c r="B1538" s="1" t="s">
        <v>10</v>
      </c>
      <c r="C1538" s="1">
        <f>847.1*(1000)</f>
        <v>847100</v>
      </c>
      <c r="D1538" s="1">
        <v>0</v>
      </c>
    </row>
    <row r="1539" spans="1:4" x14ac:dyDescent="0.25">
      <c r="A1539" s="2">
        <v>39479</v>
      </c>
      <c r="B1539" s="1" t="s">
        <v>10</v>
      </c>
      <c r="C1539" s="1">
        <f>849.7*(1000)</f>
        <v>849700</v>
      </c>
      <c r="D1539" s="1">
        <v>0</v>
      </c>
    </row>
    <row r="1540" spans="1:4" x14ac:dyDescent="0.25">
      <c r="A1540" s="2">
        <v>39508</v>
      </c>
      <c r="B1540" s="1" t="s">
        <v>10</v>
      </c>
      <c r="C1540" s="1">
        <f>849.5*(1000)</f>
        <v>849500</v>
      </c>
      <c r="D1540" s="1">
        <v>0</v>
      </c>
    </row>
    <row r="1541" spans="1:4" x14ac:dyDescent="0.25">
      <c r="A1541" s="2">
        <v>39539</v>
      </c>
      <c r="B1541" s="1" t="s">
        <v>10</v>
      </c>
      <c r="C1541" s="1">
        <f>849.6*(1000)</f>
        <v>849600</v>
      </c>
      <c r="D1541" s="1">
        <v>0</v>
      </c>
    </row>
    <row r="1542" spans="1:4" x14ac:dyDescent="0.25">
      <c r="A1542" s="2">
        <v>39569</v>
      </c>
      <c r="B1542" s="1" t="s">
        <v>10</v>
      </c>
      <c r="C1542" s="1">
        <f>849.2*(1000)</f>
        <v>849200</v>
      </c>
      <c r="D1542" s="1">
        <v>0</v>
      </c>
    </row>
    <row r="1543" spans="1:4" x14ac:dyDescent="0.25">
      <c r="A1543" s="2">
        <v>39600</v>
      </c>
      <c r="B1543" s="1" t="s">
        <v>10</v>
      </c>
      <c r="C1543" s="1">
        <f>849.1*(1000)</f>
        <v>849100</v>
      </c>
      <c r="D1543" s="1">
        <v>0</v>
      </c>
    </row>
    <row r="1544" spans="1:4" x14ac:dyDescent="0.25">
      <c r="A1544" s="2">
        <v>39630</v>
      </c>
      <c r="B1544" s="1" t="s">
        <v>10</v>
      </c>
      <c r="C1544" s="1">
        <f>847.4*(1000)</f>
        <v>847400</v>
      </c>
      <c r="D1544" s="1">
        <v>0</v>
      </c>
    </row>
    <row r="1545" spans="1:4" x14ac:dyDescent="0.25">
      <c r="A1545" s="2">
        <v>39661</v>
      </c>
      <c r="B1545" s="1" t="s">
        <v>10</v>
      </c>
      <c r="C1545" s="1">
        <f>848.3*(1000)</f>
        <v>848300</v>
      </c>
      <c r="D1545" s="1">
        <v>0</v>
      </c>
    </row>
    <row r="1546" spans="1:4" x14ac:dyDescent="0.25">
      <c r="A1546" s="2">
        <v>39692</v>
      </c>
      <c r="B1546" s="1" t="s">
        <v>10</v>
      </c>
      <c r="C1546" s="1">
        <f>848.8*(1000)</f>
        <v>848800</v>
      </c>
      <c r="D1546" s="1">
        <v>0</v>
      </c>
    </row>
    <row r="1547" spans="1:4" x14ac:dyDescent="0.25">
      <c r="A1547" s="2">
        <v>39722</v>
      </c>
      <c r="B1547" s="1" t="s">
        <v>10</v>
      </c>
      <c r="C1547" s="1">
        <f>845.6*(1000)</f>
        <v>845600</v>
      </c>
      <c r="D1547" s="1">
        <v>0</v>
      </c>
    </row>
    <row r="1548" spans="1:4" x14ac:dyDescent="0.25">
      <c r="A1548" s="2">
        <v>39753</v>
      </c>
      <c r="B1548" s="1" t="s">
        <v>10</v>
      </c>
      <c r="C1548" s="1">
        <f>842.4*(1000)</f>
        <v>842400</v>
      </c>
      <c r="D1548" s="1">
        <v>0</v>
      </c>
    </row>
    <row r="1549" spans="1:4" x14ac:dyDescent="0.25">
      <c r="A1549" s="2">
        <v>39783</v>
      </c>
      <c r="B1549" s="1" t="s">
        <v>10</v>
      </c>
      <c r="C1549" s="1">
        <f>836.6*(1000)</f>
        <v>836600</v>
      </c>
      <c r="D1549" s="1">
        <v>0</v>
      </c>
    </row>
    <row r="1550" spans="1:4" x14ac:dyDescent="0.25">
      <c r="A1550" s="2">
        <v>39814</v>
      </c>
      <c r="B1550" s="1" t="s">
        <v>10</v>
      </c>
      <c r="C1550" s="1">
        <f>829.1*(1000)</f>
        <v>829100</v>
      </c>
      <c r="D1550" s="1">
        <v>0</v>
      </c>
    </row>
    <row r="1551" spans="1:4" x14ac:dyDescent="0.25">
      <c r="A1551" s="2">
        <v>39845</v>
      </c>
      <c r="B1551" s="1" t="s">
        <v>10</v>
      </c>
      <c r="C1551" s="1">
        <f>825*(1000)</f>
        <v>825000</v>
      </c>
      <c r="D1551" s="1">
        <v>0</v>
      </c>
    </row>
    <row r="1552" spans="1:4" x14ac:dyDescent="0.25">
      <c r="A1552" s="2">
        <v>39873</v>
      </c>
      <c r="B1552" s="1" t="s">
        <v>10</v>
      </c>
      <c r="C1552" s="1">
        <f>818.8*(1000)</f>
        <v>818800</v>
      </c>
      <c r="D1552" s="1">
        <v>0</v>
      </c>
    </row>
    <row r="1553" spans="1:4" x14ac:dyDescent="0.25">
      <c r="A1553" s="2">
        <v>39904</v>
      </c>
      <c r="B1553" s="1" t="s">
        <v>10</v>
      </c>
      <c r="C1553" s="1">
        <f>813.7*(1000)</f>
        <v>813700</v>
      </c>
      <c r="D1553" s="1">
        <v>0</v>
      </c>
    </row>
    <row r="1554" spans="1:4" x14ac:dyDescent="0.25">
      <c r="A1554" s="2">
        <v>39934</v>
      </c>
      <c r="B1554" s="1" t="s">
        <v>10</v>
      </c>
      <c r="C1554" s="1">
        <f>813.8*(1000)</f>
        <v>813800</v>
      </c>
      <c r="D1554" s="1">
        <v>0</v>
      </c>
    </row>
    <row r="1555" spans="1:4" x14ac:dyDescent="0.25">
      <c r="A1555" s="2">
        <v>39965</v>
      </c>
      <c r="B1555" s="1" t="s">
        <v>10</v>
      </c>
      <c r="C1555" s="1">
        <f>811.2*(1000)</f>
        <v>811200</v>
      </c>
      <c r="D1555" s="1">
        <v>0</v>
      </c>
    </row>
    <row r="1556" spans="1:4" x14ac:dyDescent="0.25">
      <c r="A1556" s="2">
        <v>39995</v>
      </c>
      <c r="B1556" s="1" t="s">
        <v>10</v>
      </c>
      <c r="C1556" s="1">
        <f>809.3*(1000)</f>
        <v>809300</v>
      </c>
      <c r="D1556" s="1">
        <v>0</v>
      </c>
    </row>
    <row r="1557" spans="1:4" x14ac:dyDescent="0.25">
      <c r="A1557" s="2">
        <v>40026</v>
      </c>
      <c r="B1557" s="1" t="s">
        <v>10</v>
      </c>
      <c r="C1557" s="1">
        <f>809.8*(1000)</f>
        <v>809800</v>
      </c>
      <c r="D1557" s="1">
        <v>0</v>
      </c>
    </row>
    <row r="1558" spans="1:4" x14ac:dyDescent="0.25">
      <c r="A1558" s="2">
        <v>40057</v>
      </c>
      <c r="B1558" s="1" t="s">
        <v>10</v>
      </c>
      <c r="C1558" s="1">
        <f>807.3*(1000)</f>
        <v>807300</v>
      </c>
      <c r="D1558" s="1">
        <v>0</v>
      </c>
    </row>
    <row r="1559" spans="1:4" x14ac:dyDescent="0.25">
      <c r="A1559" s="2">
        <v>40087</v>
      </c>
      <c r="B1559" s="1" t="s">
        <v>10</v>
      </c>
      <c r="C1559" s="1">
        <f>804.7*(1000)</f>
        <v>804700</v>
      </c>
      <c r="D1559" s="1">
        <v>0</v>
      </c>
    </row>
    <row r="1560" spans="1:4" x14ac:dyDescent="0.25">
      <c r="A1560" s="2">
        <v>40118</v>
      </c>
      <c r="B1560" s="1" t="s">
        <v>10</v>
      </c>
      <c r="C1560" s="1">
        <f>803.6*(1000)</f>
        <v>803600</v>
      </c>
      <c r="D1560" s="1">
        <v>0</v>
      </c>
    </row>
    <row r="1561" spans="1:4" x14ac:dyDescent="0.25">
      <c r="A1561" s="2">
        <v>40148</v>
      </c>
      <c r="B1561" s="1" t="s">
        <v>10</v>
      </c>
      <c r="C1561" s="1">
        <f>802.5*(1000)</f>
        <v>802500</v>
      </c>
      <c r="D1561" s="1">
        <v>0</v>
      </c>
    </row>
    <row r="1562" spans="1:4" x14ac:dyDescent="0.25">
      <c r="A1562" s="2">
        <v>40179</v>
      </c>
      <c r="B1562" s="1" t="s">
        <v>10</v>
      </c>
      <c r="C1562" s="1">
        <f>801.1*(1000)</f>
        <v>801100</v>
      </c>
      <c r="D1562" s="1">
        <v>0</v>
      </c>
    </row>
    <row r="1563" spans="1:4" x14ac:dyDescent="0.25">
      <c r="A1563" s="2">
        <v>40210</v>
      </c>
      <c r="B1563" s="1" t="s">
        <v>10</v>
      </c>
      <c r="C1563" s="1">
        <f>802.5*(1000)</f>
        <v>802500</v>
      </c>
      <c r="D1563" s="1">
        <v>0</v>
      </c>
    </row>
    <row r="1564" spans="1:4" x14ac:dyDescent="0.25">
      <c r="A1564" s="2">
        <v>40238</v>
      </c>
      <c r="B1564" s="1" t="s">
        <v>10</v>
      </c>
      <c r="C1564" s="1">
        <f>803.1*(1000)</f>
        <v>803100</v>
      </c>
      <c r="D1564" s="1">
        <v>0</v>
      </c>
    </row>
    <row r="1565" spans="1:4" x14ac:dyDescent="0.25">
      <c r="A1565" s="2">
        <v>40269</v>
      </c>
      <c r="B1565" s="1" t="s">
        <v>10</v>
      </c>
      <c r="C1565" s="1">
        <f>804.7*(1000)</f>
        <v>804700</v>
      </c>
      <c r="D1565" s="1">
        <v>0</v>
      </c>
    </row>
    <row r="1566" spans="1:4" x14ac:dyDescent="0.25">
      <c r="A1566" s="2">
        <v>40299</v>
      </c>
      <c r="B1566" s="1" t="s">
        <v>10</v>
      </c>
      <c r="C1566" s="1">
        <f>807.6*(1000)</f>
        <v>807600</v>
      </c>
      <c r="D1566" s="1">
        <v>0</v>
      </c>
    </row>
    <row r="1567" spans="1:4" x14ac:dyDescent="0.25">
      <c r="A1567" s="2">
        <v>40330</v>
      </c>
      <c r="B1567" s="1" t="s">
        <v>10</v>
      </c>
      <c r="C1567" s="1">
        <f>806.9*(1000)</f>
        <v>806900</v>
      </c>
      <c r="D1567" s="1">
        <v>0</v>
      </c>
    </row>
    <row r="1568" spans="1:4" x14ac:dyDescent="0.25">
      <c r="A1568" s="2">
        <v>40360</v>
      </c>
      <c r="B1568" s="1" t="s">
        <v>10</v>
      </c>
      <c r="C1568" s="1">
        <f>805.9*(1000)</f>
        <v>805900</v>
      </c>
      <c r="D1568" s="1">
        <v>0</v>
      </c>
    </row>
    <row r="1569" spans="1:4" x14ac:dyDescent="0.25">
      <c r="A1569" s="2">
        <v>40391</v>
      </c>
      <c r="B1569" s="1" t="s">
        <v>10</v>
      </c>
      <c r="C1569" s="1">
        <f>803.8*(1000)</f>
        <v>803800</v>
      </c>
      <c r="D1569" s="1">
        <v>0</v>
      </c>
    </row>
    <row r="1570" spans="1:4" x14ac:dyDescent="0.25">
      <c r="A1570" s="2">
        <v>40422</v>
      </c>
      <c r="B1570" s="1" t="s">
        <v>10</v>
      </c>
      <c r="C1570" s="1">
        <f>797.7*(1000)</f>
        <v>797700</v>
      </c>
      <c r="D1570" s="1">
        <v>0</v>
      </c>
    </row>
    <row r="1571" spans="1:4" x14ac:dyDescent="0.25">
      <c r="A1571" s="2">
        <v>40452</v>
      </c>
      <c r="B1571" s="1" t="s">
        <v>10</v>
      </c>
      <c r="C1571" s="1">
        <f>800.8*(1000)</f>
        <v>800800</v>
      </c>
      <c r="D1571" s="1">
        <v>0</v>
      </c>
    </row>
    <row r="1572" spans="1:4" x14ac:dyDescent="0.25">
      <c r="A1572" s="2">
        <v>40483</v>
      </c>
      <c r="B1572" s="1" t="s">
        <v>10</v>
      </c>
      <c r="C1572" s="1">
        <f>800.8*(1000)</f>
        <v>800800</v>
      </c>
      <c r="D1572" s="1">
        <v>0</v>
      </c>
    </row>
    <row r="1573" spans="1:4" x14ac:dyDescent="0.25">
      <c r="A1573" s="2">
        <v>40513</v>
      </c>
      <c r="B1573" s="1" t="s">
        <v>10</v>
      </c>
      <c r="C1573" s="1">
        <f>802*(1000)</f>
        <v>802000</v>
      </c>
      <c r="D1573" s="1">
        <v>0</v>
      </c>
    </row>
    <row r="1574" spans="1:4" x14ac:dyDescent="0.25">
      <c r="A1574" s="2">
        <v>40544</v>
      </c>
      <c r="B1574" s="1" t="s">
        <v>10</v>
      </c>
      <c r="C1574" s="1">
        <f>799.9*(1000)</f>
        <v>799900</v>
      </c>
      <c r="D1574" s="1">
        <v>0</v>
      </c>
    </row>
    <row r="1575" spans="1:4" x14ac:dyDescent="0.25">
      <c r="A1575" s="2">
        <v>40575</v>
      </c>
      <c r="B1575" s="1" t="s">
        <v>10</v>
      </c>
      <c r="C1575" s="1">
        <f>802.5*(1000)</f>
        <v>802500</v>
      </c>
      <c r="D1575" s="1">
        <v>0</v>
      </c>
    </row>
    <row r="1576" spans="1:4" x14ac:dyDescent="0.25">
      <c r="A1576" s="2">
        <v>40603</v>
      </c>
      <c r="B1576" s="1" t="s">
        <v>10</v>
      </c>
      <c r="C1576" s="1">
        <f>802.5*(1000)</f>
        <v>802500</v>
      </c>
      <c r="D1576" s="1">
        <v>0</v>
      </c>
    </row>
    <row r="1577" spans="1:4" x14ac:dyDescent="0.25">
      <c r="A1577" s="2">
        <v>40634</v>
      </c>
      <c r="B1577" s="1" t="s">
        <v>10</v>
      </c>
      <c r="C1577" s="1">
        <f>804.9*(1000)</f>
        <v>804900</v>
      </c>
      <c r="D1577" s="1">
        <v>0</v>
      </c>
    </row>
    <row r="1578" spans="1:4" x14ac:dyDescent="0.25">
      <c r="A1578" s="2">
        <v>40664</v>
      </c>
      <c r="B1578" s="1" t="s">
        <v>10</v>
      </c>
      <c r="C1578" s="1">
        <f>805.3*(1000)</f>
        <v>805300</v>
      </c>
      <c r="D1578" s="1">
        <v>0</v>
      </c>
    </row>
    <row r="1579" spans="1:4" x14ac:dyDescent="0.25">
      <c r="A1579" s="2">
        <v>40695</v>
      </c>
      <c r="B1579" s="1" t="s">
        <v>10</v>
      </c>
      <c r="C1579" s="1">
        <f>804.7*(1000)</f>
        <v>804700</v>
      </c>
      <c r="D1579" s="1">
        <v>0</v>
      </c>
    </row>
    <row r="1580" spans="1:4" x14ac:dyDescent="0.25">
      <c r="A1580" s="2">
        <v>40725</v>
      </c>
      <c r="B1580" s="1" t="s">
        <v>10</v>
      </c>
      <c r="C1580" s="1">
        <f>804.3*(1000)</f>
        <v>804300</v>
      </c>
      <c r="D1580" s="1">
        <v>0</v>
      </c>
    </row>
    <row r="1581" spans="1:4" x14ac:dyDescent="0.25">
      <c r="A1581" s="2">
        <v>40756</v>
      </c>
      <c r="B1581" s="1" t="s">
        <v>10</v>
      </c>
      <c r="C1581" s="1">
        <f>803.2*(1000)</f>
        <v>803200</v>
      </c>
      <c r="D1581" s="1">
        <v>0</v>
      </c>
    </row>
    <row r="1582" spans="1:4" x14ac:dyDescent="0.25">
      <c r="A1582" s="2">
        <v>40787</v>
      </c>
      <c r="B1582" s="1" t="s">
        <v>10</v>
      </c>
      <c r="C1582" s="1">
        <f>804.3*(1000)</f>
        <v>804300</v>
      </c>
      <c r="D1582" s="1">
        <v>0</v>
      </c>
    </row>
    <row r="1583" spans="1:4" x14ac:dyDescent="0.25">
      <c r="A1583" s="2">
        <v>40817</v>
      </c>
      <c r="B1583" s="1" t="s">
        <v>10</v>
      </c>
      <c r="C1583" s="1">
        <f>801.6*(1000)</f>
        <v>801600</v>
      </c>
      <c r="D1583" s="1">
        <v>0</v>
      </c>
    </row>
    <row r="1584" spans="1:4" x14ac:dyDescent="0.25">
      <c r="A1584" s="2">
        <v>40848</v>
      </c>
      <c r="B1584" s="1" t="s">
        <v>10</v>
      </c>
      <c r="C1584" s="1">
        <f>802.7*(1000)</f>
        <v>802700</v>
      </c>
      <c r="D1584" s="1">
        <v>0</v>
      </c>
    </row>
    <row r="1585" spans="1:4" x14ac:dyDescent="0.25">
      <c r="A1585" s="2">
        <v>40878</v>
      </c>
      <c r="B1585" s="1" t="s">
        <v>10</v>
      </c>
      <c r="C1585" s="1">
        <f>802.1*(1000)</f>
        <v>802100</v>
      </c>
      <c r="D1585" s="1">
        <v>0</v>
      </c>
    </row>
    <row r="1586" spans="1:4" x14ac:dyDescent="0.25">
      <c r="A1586" s="2">
        <v>40909</v>
      </c>
      <c r="B1586" s="1" t="s">
        <v>10</v>
      </c>
      <c r="C1586" s="1">
        <f>802.1*(1000)</f>
        <v>802100</v>
      </c>
      <c r="D1586" s="1">
        <v>0</v>
      </c>
    </row>
    <row r="1587" spans="1:4" x14ac:dyDescent="0.25">
      <c r="A1587" s="2">
        <v>40940</v>
      </c>
      <c r="B1587" s="1" t="s">
        <v>10</v>
      </c>
      <c r="C1587" s="1">
        <f>804.2*(1000)</f>
        <v>804200</v>
      </c>
      <c r="D1587" s="1">
        <v>0</v>
      </c>
    </row>
    <row r="1588" spans="1:4" x14ac:dyDescent="0.25">
      <c r="A1588" s="2">
        <v>40969</v>
      </c>
      <c r="B1588" s="1" t="s">
        <v>10</v>
      </c>
      <c r="C1588" s="1">
        <f>806*(1000)</f>
        <v>806000</v>
      </c>
      <c r="D1588" s="1">
        <v>0</v>
      </c>
    </row>
    <row r="1589" spans="1:4" x14ac:dyDescent="0.25">
      <c r="A1589" s="2">
        <v>41000</v>
      </c>
      <c r="B1589" s="1" t="s">
        <v>10</v>
      </c>
      <c r="C1589" s="1">
        <f>804.2*(1000)</f>
        <v>804200</v>
      </c>
      <c r="D1589" s="1">
        <v>0</v>
      </c>
    </row>
    <row r="1590" spans="1:4" x14ac:dyDescent="0.25">
      <c r="A1590" s="2">
        <v>41030</v>
      </c>
      <c r="B1590" s="1" t="s">
        <v>10</v>
      </c>
      <c r="C1590" s="1">
        <f>804.5*(1000)</f>
        <v>804500</v>
      </c>
      <c r="D1590" s="1">
        <v>0</v>
      </c>
    </row>
    <row r="1591" spans="1:4" x14ac:dyDescent="0.25">
      <c r="A1591" s="2">
        <v>41061</v>
      </c>
      <c r="B1591" s="1" t="s">
        <v>10</v>
      </c>
      <c r="C1591" s="1">
        <f>805.2*(1000)</f>
        <v>805200</v>
      </c>
      <c r="D1591" s="1">
        <v>0</v>
      </c>
    </row>
    <row r="1592" spans="1:4" x14ac:dyDescent="0.25">
      <c r="A1592" s="2">
        <v>41091</v>
      </c>
      <c r="B1592" s="1" t="s">
        <v>10</v>
      </c>
      <c r="C1592" s="1">
        <f>802.9*(1000)</f>
        <v>802900</v>
      </c>
      <c r="D1592" s="1">
        <v>0</v>
      </c>
    </row>
    <row r="1593" spans="1:4" x14ac:dyDescent="0.25">
      <c r="A1593" s="2">
        <v>41122</v>
      </c>
      <c r="B1593" s="1" t="s">
        <v>10</v>
      </c>
      <c r="C1593" s="1">
        <f>803.8*(1000)</f>
        <v>803800</v>
      </c>
      <c r="D1593" s="1">
        <v>0</v>
      </c>
    </row>
    <row r="1594" spans="1:4" x14ac:dyDescent="0.25">
      <c r="A1594" s="2">
        <v>41153</v>
      </c>
      <c r="B1594" s="1" t="s">
        <v>10</v>
      </c>
      <c r="C1594" s="1">
        <f>805.8*(1000)</f>
        <v>805800</v>
      </c>
      <c r="D1594" s="1">
        <v>0</v>
      </c>
    </row>
    <row r="1595" spans="1:4" x14ac:dyDescent="0.25">
      <c r="A1595" s="2">
        <v>41183</v>
      </c>
      <c r="B1595" s="1" t="s">
        <v>10</v>
      </c>
      <c r="C1595" s="1">
        <f>814.4*(1000)</f>
        <v>814400</v>
      </c>
      <c r="D1595" s="1">
        <v>0</v>
      </c>
    </row>
    <row r="1596" spans="1:4" x14ac:dyDescent="0.25">
      <c r="A1596" s="2">
        <v>41214</v>
      </c>
      <c r="B1596" s="1" t="s">
        <v>10</v>
      </c>
      <c r="C1596" s="1">
        <f>814.5*(1000)</f>
        <v>814500</v>
      </c>
      <c r="D1596" s="1">
        <v>0</v>
      </c>
    </row>
    <row r="1597" spans="1:4" x14ac:dyDescent="0.25">
      <c r="A1597" s="2">
        <v>41244</v>
      </c>
      <c r="B1597" s="1" t="s">
        <v>10</v>
      </c>
      <c r="C1597" s="1">
        <f>812.7*(1000)</f>
        <v>812700</v>
      </c>
      <c r="D1597" s="1">
        <v>0</v>
      </c>
    </row>
    <row r="1598" spans="1:4" x14ac:dyDescent="0.25">
      <c r="A1598" s="2">
        <v>41275</v>
      </c>
      <c r="B1598" s="1" t="s">
        <v>10</v>
      </c>
      <c r="C1598" s="1">
        <f>813.6*(1000)</f>
        <v>813600</v>
      </c>
      <c r="D1598" s="1">
        <v>0</v>
      </c>
    </row>
    <row r="1599" spans="1:4" x14ac:dyDescent="0.25">
      <c r="A1599" s="2">
        <v>41306</v>
      </c>
      <c r="B1599" s="1" t="s">
        <v>10</v>
      </c>
      <c r="C1599" s="1">
        <f>814.1*(1000)</f>
        <v>814100</v>
      </c>
      <c r="D1599" s="1">
        <v>0</v>
      </c>
    </row>
    <row r="1600" spans="1:4" x14ac:dyDescent="0.25">
      <c r="A1600" s="2">
        <v>41334</v>
      </c>
      <c r="B1600" s="1" t="s">
        <v>10</v>
      </c>
      <c r="C1600" s="1">
        <f>811.7*(1000)</f>
        <v>811700</v>
      </c>
      <c r="D1600" s="1">
        <v>0</v>
      </c>
    </row>
    <row r="1601" spans="1:4" x14ac:dyDescent="0.25">
      <c r="A1601" s="2">
        <v>41365</v>
      </c>
      <c r="B1601" s="1" t="s">
        <v>10</v>
      </c>
      <c r="C1601" s="1">
        <f>814.2*(1000)</f>
        <v>814200</v>
      </c>
      <c r="D1601" s="1">
        <v>0</v>
      </c>
    </row>
    <row r="1602" spans="1:4" x14ac:dyDescent="0.25">
      <c r="A1602" s="2">
        <v>41395</v>
      </c>
      <c r="B1602" s="1" t="s">
        <v>10</v>
      </c>
      <c r="C1602" s="1">
        <f>813.8*(1000)</f>
        <v>813800</v>
      </c>
      <c r="D1602" s="1">
        <v>0</v>
      </c>
    </row>
    <row r="1603" spans="1:4" x14ac:dyDescent="0.25">
      <c r="A1603" s="2">
        <v>41426</v>
      </c>
      <c r="B1603" s="1" t="s">
        <v>10</v>
      </c>
      <c r="C1603" s="1">
        <f>808.3*(1000)</f>
        <v>808300</v>
      </c>
      <c r="D1603" s="1">
        <v>0</v>
      </c>
    </row>
    <row r="1604" spans="1:4" x14ac:dyDescent="0.25">
      <c r="A1604" s="2">
        <v>41456</v>
      </c>
      <c r="B1604" s="1" t="s">
        <v>10</v>
      </c>
      <c r="C1604" s="1">
        <f>809.5*(1000)</f>
        <v>809500</v>
      </c>
      <c r="D1604" s="1">
        <v>0</v>
      </c>
    </row>
    <row r="1605" spans="1:4" x14ac:dyDescent="0.25">
      <c r="A1605" s="2">
        <v>41487</v>
      </c>
      <c r="B1605" s="1" t="s">
        <v>10</v>
      </c>
      <c r="C1605" s="1">
        <f>811.8*(1000)</f>
        <v>811800</v>
      </c>
      <c r="D1605" s="1">
        <v>0</v>
      </c>
    </row>
    <row r="1606" spans="1:4" x14ac:dyDescent="0.25">
      <c r="A1606" s="2">
        <v>41518</v>
      </c>
      <c r="B1606" s="1" t="s">
        <v>10</v>
      </c>
      <c r="C1606" s="1">
        <f>810.4*(1000)</f>
        <v>810400</v>
      </c>
      <c r="D1606" s="1">
        <v>0</v>
      </c>
    </row>
    <row r="1607" spans="1:4" x14ac:dyDescent="0.25">
      <c r="A1607" s="2">
        <v>41548</v>
      </c>
      <c r="B1607" s="1" t="s">
        <v>10</v>
      </c>
      <c r="C1607" s="1">
        <f>810.8*(1000)</f>
        <v>810800</v>
      </c>
      <c r="D1607" s="1">
        <v>0</v>
      </c>
    </row>
    <row r="1608" spans="1:4" x14ac:dyDescent="0.25">
      <c r="A1608" s="2">
        <v>41579</v>
      </c>
      <c r="B1608" s="1" t="s">
        <v>10</v>
      </c>
      <c r="C1608" s="1">
        <f>811.1*(1000)</f>
        <v>811100</v>
      </c>
      <c r="D1608" s="1">
        <v>0</v>
      </c>
    </row>
    <row r="1609" spans="1:4" x14ac:dyDescent="0.25">
      <c r="A1609" s="2">
        <v>41609</v>
      </c>
      <c r="B1609" s="1" t="s">
        <v>10</v>
      </c>
      <c r="C1609" s="1">
        <f>811*(1000)</f>
        <v>811000</v>
      </c>
      <c r="D1609" s="1">
        <v>0</v>
      </c>
    </row>
    <row r="1610" spans="1:4" x14ac:dyDescent="0.25">
      <c r="A1610" s="2">
        <v>41640</v>
      </c>
      <c r="B1610" s="1" t="s">
        <v>10</v>
      </c>
      <c r="C1610" s="1">
        <f>811.5*(1000)</f>
        <v>811500</v>
      </c>
      <c r="D1610" s="1">
        <v>0</v>
      </c>
    </row>
    <row r="1611" spans="1:4" x14ac:dyDescent="0.25">
      <c r="A1611" s="2">
        <v>41671</v>
      </c>
      <c r="B1611" s="1" t="s">
        <v>10</v>
      </c>
      <c r="C1611" s="1">
        <f>811.1*(1000)</f>
        <v>811100</v>
      </c>
      <c r="D1611" s="1">
        <v>0</v>
      </c>
    </row>
    <row r="1612" spans="1:4" x14ac:dyDescent="0.25">
      <c r="A1612" s="2">
        <v>41699</v>
      </c>
      <c r="B1612" s="1" t="s">
        <v>10</v>
      </c>
      <c r="C1612" s="1">
        <f>810.1*(1000)</f>
        <v>810100</v>
      </c>
      <c r="D1612" s="1">
        <v>0</v>
      </c>
    </row>
    <row r="1613" spans="1:4" x14ac:dyDescent="0.25">
      <c r="A1613" s="2">
        <v>41730</v>
      </c>
      <c r="B1613" s="1" t="s">
        <v>10</v>
      </c>
      <c r="C1613" s="1">
        <f>807.9*(1000)</f>
        <v>807900</v>
      </c>
      <c r="D1613" s="1">
        <v>0</v>
      </c>
    </row>
    <row r="1614" spans="1:4" x14ac:dyDescent="0.25">
      <c r="A1614" s="2">
        <v>41760</v>
      </c>
      <c r="B1614" s="1" t="s">
        <v>10</v>
      </c>
      <c r="C1614" s="1">
        <f>812.6*(1000)</f>
        <v>812600</v>
      </c>
      <c r="D1614" s="1">
        <v>0</v>
      </c>
    </row>
    <row r="1615" spans="1:4" x14ac:dyDescent="0.25">
      <c r="A1615" s="2">
        <v>41791</v>
      </c>
      <c r="B1615" s="1" t="s">
        <v>10</v>
      </c>
      <c r="C1615" s="1">
        <f>807.6*(1000)</f>
        <v>807600</v>
      </c>
      <c r="D1615" s="1">
        <v>0</v>
      </c>
    </row>
    <row r="1616" spans="1:4" x14ac:dyDescent="0.25">
      <c r="A1616" s="2">
        <v>41821</v>
      </c>
      <c r="B1616" s="1" t="s">
        <v>10</v>
      </c>
      <c r="C1616" s="1">
        <f>812.7*(1000)</f>
        <v>812700</v>
      </c>
      <c r="D1616" s="1">
        <v>0</v>
      </c>
    </row>
    <row r="1617" spans="1:4" x14ac:dyDescent="0.25">
      <c r="A1617" s="2">
        <v>41852</v>
      </c>
      <c r="B1617" s="1" t="s">
        <v>10</v>
      </c>
      <c r="C1617" s="1">
        <f>817.6*(1000)</f>
        <v>817600</v>
      </c>
      <c r="D1617" s="1">
        <v>0</v>
      </c>
    </row>
    <row r="1618" spans="1:4" x14ac:dyDescent="0.25">
      <c r="A1618" s="2">
        <v>41883</v>
      </c>
      <c r="B1618" s="1" t="s">
        <v>10</v>
      </c>
      <c r="C1618" s="1">
        <f>817.1*(1000)</f>
        <v>817100</v>
      </c>
      <c r="D1618" s="1">
        <v>0</v>
      </c>
    </row>
    <row r="1619" spans="1:4" x14ac:dyDescent="0.25">
      <c r="A1619" s="2">
        <v>41913</v>
      </c>
      <c r="B1619" s="1" t="s">
        <v>10</v>
      </c>
      <c r="C1619" s="1">
        <f>821.8*(1000)</f>
        <v>821800</v>
      </c>
      <c r="D1619" s="1">
        <v>0</v>
      </c>
    </row>
    <row r="1620" spans="1:4" x14ac:dyDescent="0.25">
      <c r="A1620" s="2">
        <v>41944</v>
      </c>
      <c r="B1620" s="1" t="s">
        <v>10</v>
      </c>
      <c r="C1620" s="1">
        <f>825.9*(1000)</f>
        <v>825900</v>
      </c>
      <c r="D1620" s="1">
        <v>0</v>
      </c>
    </row>
    <row r="1621" spans="1:4" x14ac:dyDescent="0.25">
      <c r="A1621" s="2">
        <v>41974</v>
      </c>
      <c r="B1621" s="1" t="s">
        <v>10</v>
      </c>
      <c r="C1621" s="1">
        <f>824.3*(1000)</f>
        <v>824300</v>
      </c>
      <c r="D1621" s="1">
        <v>0</v>
      </c>
    </row>
    <row r="1622" spans="1:4" x14ac:dyDescent="0.25">
      <c r="A1622" s="2">
        <v>36526</v>
      </c>
      <c r="B1622" s="1" t="s">
        <v>11</v>
      </c>
      <c r="C1622" s="1">
        <f>2171.9*(1000)</f>
        <v>2171900</v>
      </c>
      <c r="D1622" s="1">
        <v>0</v>
      </c>
    </row>
    <row r="1623" spans="1:4" x14ac:dyDescent="0.25">
      <c r="A1623" s="2">
        <v>36557</v>
      </c>
      <c r="B1623" s="1" t="s">
        <v>11</v>
      </c>
      <c r="C1623" s="1">
        <f>2178.5*(1000)</f>
        <v>2178500</v>
      </c>
      <c r="D1623" s="1">
        <v>0</v>
      </c>
    </row>
    <row r="1624" spans="1:4" x14ac:dyDescent="0.25">
      <c r="A1624" s="2">
        <v>36586</v>
      </c>
      <c r="B1624" s="1" t="s">
        <v>11</v>
      </c>
      <c r="C1624" s="1">
        <f>2192.5*(1000)</f>
        <v>2192500</v>
      </c>
      <c r="D1624" s="1">
        <v>0</v>
      </c>
    </row>
    <row r="1625" spans="1:4" x14ac:dyDescent="0.25">
      <c r="A1625" s="2">
        <v>36617</v>
      </c>
      <c r="B1625" s="1" t="s">
        <v>11</v>
      </c>
      <c r="C1625" s="1">
        <f>2199*(1000)</f>
        <v>2199000</v>
      </c>
      <c r="D1625" s="1">
        <v>0</v>
      </c>
    </row>
    <row r="1626" spans="1:4" x14ac:dyDescent="0.25">
      <c r="A1626" s="2">
        <v>36647</v>
      </c>
      <c r="B1626" s="1" t="s">
        <v>11</v>
      </c>
      <c r="C1626" s="1">
        <f>2209.8*(1000)</f>
        <v>2209800</v>
      </c>
      <c r="D1626" s="1">
        <v>0</v>
      </c>
    </row>
    <row r="1627" spans="1:4" x14ac:dyDescent="0.25">
      <c r="A1627" s="2">
        <v>36678</v>
      </c>
      <c r="B1627" s="1" t="s">
        <v>11</v>
      </c>
      <c r="C1627" s="1">
        <f>2210.8*(1000)</f>
        <v>2210800</v>
      </c>
      <c r="D1627" s="1">
        <v>0</v>
      </c>
    </row>
    <row r="1628" spans="1:4" x14ac:dyDescent="0.25">
      <c r="A1628" s="2">
        <v>36708</v>
      </c>
      <c r="B1628" s="1" t="s">
        <v>11</v>
      </c>
      <c r="C1628" s="1">
        <f>2217.5*(1000)</f>
        <v>2217500</v>
      </c>
      <c r="D1628" s="1">
        <v>0</v>
      </c>
    </row>
    <row r="1629" spans="1:4" x14ac:dyDescent="0.25">
      <c r="A1629" s="2">
        <v>36739</v>
      </c>
      <c r="B1629" s="1" t="s">
        <v>11</v>
      </c>
      <c r="C1629" s="1">
        <f>2228.1*(1000)</f>
        <v>2228100</v>
      </c>
      <c r="D1629" s="1">
        <v>0</v>
      </c>
    </row>
    <row r="1630" spans="1:4" x14ac:dyDescent="0.25">
      <c r="A1630" s="2">
        <v>36770</v>
      </c>
      <c r="B1630" s="1" t="s">
        <v>11</v>
      </c>
      <c r="C1630" s="1">
        <f>2231.5*(1000)</f>
        <v>2231500</v>
      </c>
      <c r="D1630" s="1">
        <v>0</v>
      </c>
    </row>
    <row r="1631" spans="1:4" x14ac:dyDescent="0.25">
      <c r="A1631" s="2">
        <v>36800</v>
      </c>
      <c r="B1631" s="1" t="s">
        <v>11</v>
      </c>
      <c r="C1631" s="1">
        <f>2237.4*(1000)</f>
        <v>2237400</v>
      </c>
      <c r="D1631" s="1">
        <v>0</v>
      </c>
    </row>
    <row r="1632" spans="1:4" x14ac:dyDescent="0.25">
      <c r="A1632" s="2">
        <v>36831</v>
      </c>
      <c r="B1632" s="1" t="s">
        <v>11</v>
      </c>
      <c r="C1632" s="1">
        <f>2243.8*(1000)</f>
        <v>2243800</v>
      </c>
      <c r="D1632" s="1">
        <v>0</v>
      </c>
    </row>
    <row r="1633" spans="1:4" x14ac:dyDescent="0.25">
      <c r="A1633" s="2">
        <v>36861</v>
      </c>
      <c r="B1633" s="1" t="s">
        <v>11</v>
      </c>
      <c r="C1633" s="1">
        <f>2249.9*(1000)</f>
        <v>2249900</v>
      </c>
      <c r="D1633" s="1">
        <v>0</v>
      </c>
    </row>
    <row r="1634" spans="1:4" x14ac:dyDescent="0.25">
      <c r="A1634" s="2">
        <v>36892</v>
      </c>
      <c r="B1634" s="1" t="s">
        <v>11</v>
      </c>
      <c r="C1634" s="1">
        <f>2249.7*(1000)</f>
        <v>2249700</v>
      </c>
      <c r="D1634" s="1">
        <v>0</v>
      </c>
    </row>
    <row r="1635" spans="1:4" x14ac:dyDescent="0.25">
      <c r="A1635" s="2">
        <v>36923</v>
      </c>
      <c r="B1635" s="1" t="s">
        <v>11</v>
      </c>
      <c r="C1635" s="1">
        <f>2249.2*(1000)</f>
        <v>2249200</v>
      </c>
      <c r="D1635" s="1">
        <v>0</v>
      </c>
    </row>
    <row r="1636" spans="1:4" x14ac:dyDescent="0.25">
      <c r="A1636" s="2">
        <v>36951</v>
      </c>
      <c r="B1636" s="1" t="s">
        <v>11</v>
      </c>
      <c r="C1636" s="1">
        <f>2248.8*(1000)</f>
        <v>2248800</v>
      </c>
      <c r="D1636" s="1">
        <v>0</v>
      </c>
    </row>
    <row r="1637" spans="1:4" x14ac:dyDescent="0.25">
      <c r="A1637" s="2">
        <v>36982</v>
      </c>
      <c r="B1637" s="1" t="s">
        <v>11</v>
      </c>
      <c r="C1637" s="1">
        <f>2241.3*(1000)</f>
        <v>2241300</v>
      </c>
      <c r="D1637" s="1">
        <v>0</v>
      </c>
    </row>
    <row r="1638" spans="1:4" x14ac:dyDescent="0.25">
      <c r="A1638" s="2">
        <v>37012</v>
      </c>
      <c r="B1638" s="1" t="s">
        <v>11</v>
      </c>
      <c r="C1638" s="1">
        <f>2238.1*(1000)</f>
        <v>2238100</v>
      </c>
      <c r="D1638" s="1">
        <v>0</v>
      </c>
    </row>
    <row r="1639" spans="1:4" x14ac:dyDescent="0.25">
      <c r="A1639" s="2">
        <v>37043</v>
      </c>
      <c r="B1639" s="1" t="s">
        <v>11</v>
      </c>
      <c r="C1639" s="1">
        <f>2237*(1000)</f>
        <v>2237000</v>
      </c>
      <c r="D1639" s="1">
        <v>0</v>
      </c>
    </row>
    <row r="1640" spans="1:4" x14ac:dyDescent="0.25">
      <c r="A1640" s="2">
        <v>37073</v>
      </c>
      <c r="B1640" s="1" t="s">
        <v>11</v>
      </c>
      <c r="C1640" s="1">
        <f>2229.6*(1000)</f>
        <v>2229600</v>
      </c>
      <c r="D1640" s="1">
        <v>0</v>
      </c>
    </row>
    <row r="1641" spans="1:4" x14ac:dyDescent="0.25">
      <c r="A1641" s="2">
        <v>37104</v>
      </c>
      <c r="B1641" s="1" t="s">
        <v>11</v>
      </c>
      <c r="C1641" s="1">
        <f>2225.6*(1000)</f>
        <v>2225600</v>
      </c>
      <c r="D1641" s="1">
        <v>0</v>
      </c>
    </row>
    <row r="1642" spans="1:4" x14ac:dyDescent="0.25">
      <c r="A1642" s="2">
        <v>37135</v>
      </c>
      <c r="B1642" s="1" t="s">
        <v>11</v>
      </c>
      <c r="C1642" s="1">
        <f>2215.7*(1000)</f>
        <v>2215700</v>
      </c>
      <c r="D1642" s="1">
        <v>0</v>
      </c>
    </row>
    <row r="1643" spans="1:4" x14ac:dyDescent="0.25">
      <c r="A1643" s="2">
        <v>37165</v>
      </c>
      <c r="B1643" s="1" t="s">
        <v>11</v>
      </c>
      <c r="C1643" s="1">
        <f>2205.4*(1000)</f>
        <v>2205400</v>
      </c>
      <c r="D1643" s="1">
        <v>0</v>
      </c>
    </row>
    <row r="1644" spans="1:4" x14ac:dyDescent="0.25">
      <c r="A1644" s="2">
        <v>37196</v>
      </c>
      <c r="B1644" s="1" t="s">
        <v>11</v>
      </c>
      <c r="C1644" s="1">
        <f>2195.9*(1000)</f>
        <v>2195900</v>
      </c>
      <c r="D1644" s="1">
        <v>0</v>
      </c>
    </row>
    <row r="1645" spans="1:4" x14ac:dyDescent="0.25">
      <c r="A1645" s="2">
        <v>37226</v>
      </c>
      <c r="B1645" s="1" t="s">
        <v>11</v>
      </c>
      <c r="C1645" s="1">
        <f>2189.4*(1000)</f>
        <v>2189400</v>
      </c>
      <c r="D1645" s="1">
        <v>0</v>
      </c>
    </row>
    <row r="1646" spans="1:4" x14ac:dyDescent="0.25">
      <c r="A1646" s="2">
        <v>37257</v>
      </c>
      <c r="B1646" s="1" t="s">
        <v>11</v>
      </c>
      <c r="C1646" s="1">
        <f>2188.4*(1000)</f>
        <v>2188400</v>
      </c>
      <c r="D1646" s="1">
        <v>0</v>
      </c>
    </row>
    <row r="1647" spans="1:4" x14ac:dyDescent="0.25">
      <c r="A1647" s="2">
        <v>37288</v>
      </c>
      <c r="B1647" s="1" t="s">
        <v>11</v>
      </c>
      <c r="C1647" s="1">
        <f>2187.8*(1000)</f>
        <v>2187800</v>
      </c>
      <c r="D1647" s="1">
        <v>0</v>
      </c>
    </row>
    <row r="1648" spans="1:4" x14ac:dyDescent="0.25">
      <c r="A1648" s="2">
        <v>37316</v>
      </c>
      <c r="B1648" s="1" t="s">
        <v>11</v>
      </c>
      <c r="C1648" s="1">
        <f>2185.8*(1000)</f>
        <v>2185800</v>
      </c>
      <c r="D1648" s="1">
        <v>0</v>
      </c>
    </row>
    <row r="1649" spans="1:4" x14ac:dyDescent="0.25">
      <c r="A1649" s="2">
        <v>37347</v>
      </c>
      <c r="B1649" s="1" t="s">
        <v>11</v>
      </c>
      <c r="C1649" s="1">
        <f>2192*(1000)</f>
        <v>2192000</v>
      </c>
      <c r="D1649" s="1">
        <v>0</v>
      </c>
    </row>
    <row r="1650" spans="1:4" x14ac:dyDescent="0.25">
      <c r="A1650" s="2">
        <v>37377</v>
      </c>
      <c r="B1650" s="1" t="s">
        <v>11</v>
      </c>
      <c r="C1650" s="1">
        <f>2194.4*(1000)</f>
        <v>2194400</v>
      </c>
      <c r="D1650" s="1">
        <v>0</v>
      </c>
    </row>
    <row r="1651" spans="1:4" x14ac:dyDescent="0.25">
      <c r="A1651" s="2">
        <v>37408</v>
      </c>
      <c r="B1651" s="1" t="s">
        <v>11</v>
      </c>
      <c r="C1651" s="1">
        <f>2191.7*(1000)</f>
        <v>2191700</v>
      </c>
      <c r="D1651" s="1">
        <v>0</v>
      </c>
    </row>
    <row r="1652" spans="1:4" x14ac:dyDescent="0.25">
      <c r="A1652" s="2">
        <v>37438</v>
      </c>
      <c r="B1652" s="1" t="s">
        <v>11</v>
      </c>
      <c r="C1652" s="1">
        <f>2183.7*(1000)</f>
        <v>2183700</v>
      </c>
      <c r="D1652" s="1">
        <v>0</v>
      </c>
    </row>
    <row r="1653" spans="1:4" x14ac:dyDescent="0.25">
      <c r="A1653" s="2">
        <v>37469</v>
      </c>
      <c r="B1653" s="1" t="s">
        <v>11</v>
      </c>
      <c r="C1653" s="1">
        <f>2185.1*(1000)</f>
        <v>2185100</v>
      </c>
      <c r="D1653" s="1">
        <v>0</v>
      </c>
    </row>
    <row r="1654" spans="1:4" x14ac:dyDescent="0.25">
      <c r="A1654" s="2">
        <v>37500</v>
      </c>
      <c r="B1654" s="1" t="s">
        <v>11</v>
      </c>
      <c r="C1654" s="1">
        <f>2179*(1000)</f>
        <v>2179000</v>
      </c>
      <c r="D1654" s="1">
        <v>0</v>
      </c>
    </row>
    <row r="1655" spans="1:4" x14ac:dyDescent="0.25">
      <c r="A1655" s="2">
        <v>37530</v>
      </c>
      <c r="B1655" s="1" t="s">
        <v>11</v>
      </c>
      <c r="C1655" s="1">
        <f>2177.1*(1000)</f>
        <v>2177100</v>
      </c>
      <c r="D1655" s="1">
        <v>0</v>
      </c>
    </row>
    <row r="1656" spans="1:4" x14ac:dyDescent="0.25">
      <c r="A1656" s="2">
        <v>37561</v>
      </c>
      <c r="B1656" s="1" t="s">
        <v>11</v>
      </c>
      <c r="C1656" s="1">
        <f>2175.5*(1000)</f>
        <v>2175500</v>
      </c>
      <c r="D1656" s="1">
        <v>0</v>
      </c>
    </row>
    <row r="1657" spans="1:4" x14ac:dyDescent="0.25">
      <c r="A1657" s="2">
        <v>37591</v>
      </c>
      <c r="B1657" s="1" t="s">
        <v>11</v>
      </c>
      <c r="C1657" s="1">
        <f>2175.6*(1000)</f>
        <v>2175600</v>
      </c>
      <c r="D1657" s="1">
        <v>0</v>
      </c>
    </row>
    <row r="1658" spans="1:4" x14ac:dyDescent="0.25">
      <c r="A1658" s="2">
        <v>37622</v>
      </c>
      <c r="B1658" s="1" t="s">
        <v>11</v>
      </c>
      <c r="C1658" s="1">
        <f>2167.1*(1000)</f>
        <v>2167100</v>
      </c>
      <c r="D1658" s="1">
        <v>0</v>
      </c>
    </row>
    <row r="1659" spans="1:4" x14ac:dyDescent="0.25">
      <c r="A1659" s="2">
        <v>37653</v>
      </c>
      <c r="B1659" s="1" t="s">
        <v>11</v>
      </c>
      <c r="C1659" s="1">
        <f>2162*(1000)</f>
        <v>2162000</v>
      </c>
      <c r="D1659" s="1">
        <v>0</v>
      </c>
    </row>
    <row r="1660" spans="1:4" x14ac:dyDescent="0.25">
      <c r="A1660" s="2">
        <v>37681</v>
      </c>
      <c r="B1660" s="1" t="s">
        <v>11</v>
      </c>
      <c r="C1660" s="1">
        <f>2153*(1000)</f>
        <v>2153000</v>
      </c>
      <c r="D1660" s="1">
        <v>0</v>
      </c>
    </row>
    <row r="1661" spans="1:4" x14ac:dyDescent="0.25">
      <c r="A1661" s="2">
        <v>37712</v>
      </c>
      <c r="B1661" s="1" t="s">
        <v>11</v>
      </c>
      <c r="C1661" s="1">
        <f>2148.6*(1000)</f>
        <v>2148600</v>
      </c>
      <c r="D1661" s="1">
        <v>0</v>
      </c>
    </row>
    <row r="1662" spans="1:4" x14ac:dyDescent="0.25">
      <c r="A1662" s="2">
        <v>37742</v>
      </c>
      <c r="B1662" s="1" t="s">
        <v>11</v>
      </c>
      <c r="C1662" s="1">
        <f>2148.4*(1000)</f>
        <v>2148400</v>
      </c>
      <c r="D1662" s="1">
        <v>0</v>
      </c>
    </row>
    <row r="1663" spans="1:4" x14ac:dyDescent="0.25">
      <c r="A1663" s="2">
        <v>37773</v>
      </c>
      <c r="B1663" s="1" t="s">
        <v>11</v>
      </c>
      <c r="C1663" s="1">
        <f>2146.5*(1000)</f>
        <v>2146500</v>
      </c>
      <c r="D1663" s="1">
        <v>0</v>
      </c>
    </row>
    <row r="1664" spans="1:4" x14ac:dyDescent="0.25">
      <c r="A1664" s="2">
        <v>37803</v>
      </c>
      <c r="B1664" s="1" t="s">
        <v>11</v>
      </c>
      <c r="C1664" s="1">
        <f>2146.8*(1000)</f>
        <v>2146800</v>
      </c>
      <c r="D1664" s="1">
        <v>0</v>
      </c>
    </row>
    <row r="1665" spans="1:4" x14ac:dyDescent="0.25">
      <c r="A1665" s="2">
        <v>37834</v>
      </c>
      <c r="B1665" s="1" t="s">
        <v>11</v>
      </c>
      <c r="C1665" s="1">
        <f>2149.5*(1000)</f>
        <v>2149500</v>
      </c>
      <c r="D1665" s="1">
        <v>0</v>
      </c>
    </row>
    <row r="1666" spans="1:4" x14ac:dyDescent="0.25">
      <c r="A1666" s="2">
        <v>37865</v>
      </c>
      <c r="B1666" s="1" t="s">
        <v>11</v>
      </c>
      <c r="C1666" s="1">
        <f>2147.8*(1000)</f>
        <v>2147800</v>
      </c>
      <c r="D1666" s="1">
        <v>0</v>
      </c>
    </row>
    <row r="1667" spans="1:4" x14ac:dyDescent="0.25">
      <c r="A1667" s="2">
        <v>37895</v>
      </c>
      <c r="B1667" s="1" t="s">
        <v>11</v>
      </c>
      <c r="C1667" s="1">
        <f>2152.8*(1000)</f>
        <v>2152800</v>
      </c>
      <c r="D1667" s="1">
        <v>0</v>
      </c>
    </row>
    <row r="1668" spans="1:4" x14ac:dyDescent="0.25">
      <c r="A1668" s="2">
        <v>37926</v>
      </c>
      <c r="B1668" s="1" t="s">
        <v>11</v>
      </c>
      <c r="C1668" s="1">
        <f>2153.1*(1000)</f>
        <v>2153100</v>
      </c>
      <c r="D1668" s="1">
        <v>0</v>
      </c>
    </row>
    <row r="1669" spans="1:4" x14ac:dyDescent="0.25">
      <c r="A1669" s="2">
        <v>37956</v>
      </c>
      <c r="B1669" s="1" t="s">
        <v>11</v>
      </c>
      <c r="C1669" s="1">
        <f>2155.5*(1000)</f>
        <v>2155500</v>
      </c>
      <c r="D1669" s="1">
        <v>0</v>
      </c>
    </row>
    <row r="1670" spans="1:4" x14ac:dyDescent="0.25">
      <c r="A1670" s="2">
        <v>37987</v>
      </c>
      <c r="B1670" s="1" t="s">
        <v>11</v>
      </c>
      <c r="C1670" s="1">
        <f>2159*(1000)</f>
        <v>2159000</v>
      </c>
      <c r="D1670" s="1">
        <v>0</v>
      </c>
    </row>
    <row r="1671" spans="1:4" x14ac:dyDescent="0.25">
      <c r="A1671" s="2">
        <v>38018</v>
      </c>
      <c r="B1671" s="1" t="s">
        <v>11</v>
      </c>
      <c r="C1671" s="1">
        <f>2159.3*(1000)</f>
        <v>2159300</v>
      </c>
      <c r="D1671" s="1">
        <v>0</v>
      </c>
    </row>
    <row r="1672" spans="1:4" x14ac:dyDescent="0.25">
      <c r="A1672" s="2">
        <v>38047</v>
      </c>
      <c r="B1672" s="1" t="s">
        <v>11</v>
      </c>
      <c r="C1672" s="1">
        <f>2165.4*(1000)</f>
        <v>2165400</v>
      </c>
      <c r="D1672" s="1">
        <v>0</v>
      </c>
    </row>
    <row r="1673" spans="1:4" x14ac:dyDescent="0.25">
      <c r="A1673" s="2">
        <v>38078</v>
      </c>
      <c r="B1673" s="1" t="s">
        <v>11</v>
      </c>
      <c r="C1673" s="1">
        <f>2172.8*(1000)</f>
        <v>2172800</v>
      </c>
      <c r="D1673" s="1">
        <v>0</v>
      </c>
    </row>
    <row r="1674" spans="1:4" x14ac:dyDescent="0.25">
      <c r="A1674" s="2">
        <v>38108</v>
      </c>
      <c r="B1674" s="1" t="s">
        <v>11</v>
      </c>
      <c r="C1674" s="1">
        <f>2175.8*(1000)</f>
        <v>2175800</v>
      </c>
      <c r="D1674" s="1">
        <v>0</v>
      </c>
    </row>
    <row r="1675" spans="1:4" x14ac:dyDescent="0.25">
      <c r="A1675" s="2">
        <v>38139</v>
      </c>
      <c r="B1675" s="1" t="s">
        <v>11</v>
      </c>
      <c r="C1675" s="1">
        <f>2179.2*(1000)</f>
        <v>2179200</v>
      </c>
      <c r="D1675" s="1">
        <v>0</v>
      </c>
    </row>
    <row r="1676" spans="1:4" x14ac:dyDescent="0.25">
      <c r="A1676" s="2">
        <v>38169</v>
      </c>
      <c r="B1676" s="1" t="s">
        <v>11</v>
      </c>
      <c r="C1676" s="1">
        <f>2179.2*(1000)</f>
        <v>2179200</v>
      </c>
      <c r="D1676" s="1">
        <v>0</v>
      </c>
    </row>
    <row r="1677" spans="1:4" x14ac:dyDescent="0.25">
      <c r="A1677" s="2">
        <v>38200</v>
      </c>
      <c r="B1677" s="1" t="s">
        <v>11</v>
      </c>
      <c r="C1677" s="1">
        <f>2185.6*(1000)</f>
        <v>2185600</v>
      </c>
      <c r="D1677" s="1">
        <v>0</v>
      </c>
    </row>
    <row r="1678" spans="1:4" x14ac:dyDescent="0.25">
      <c r="A1678" s="2">
        <v>38231</v>
      </c>
      <c r="B1678" s="1" t="s">
        <v>11</v>
      </c>
      <c r="C1678" s="1">
        <f>2188.4*(1000)</f>
        <v>2188400</v>
      </c>
      <c r="D1678" s="1">
        <v>0</v>
      </c>
    </row>
    <row r="1679" spans="1:4" x14ac:dyDescent="0.25">
      <c r="A1679" s="2">
        <v>38261</v>
      </c>
      <c r="B1679" s="1" t="s">
        <v>11</v>
      </c>
      <c r="C1679" s="1">
        <f>2193.6*(1000)</f>
        <v>2193600</v>
      </c>
      <c r="D1679" s="1">
        <v>0</v>
      </c>
    </row>
    <row r="1680" spans="1:4" x14ac:dyDescent="0.25">
      <c r="A1680" s="2">
        <v>38292</v>
      </c>
      <c r="B1680" s="1" t="s">
        <v>11</v>
      </c>
      <c r="C1680" s="1">
        <f>2195*(1000)</f>
        <v>2195000</v>
      </c>
      <c r="D1680" s="1">
        <v>0</v>
      </c>
    </row>
    <row r="1681" spans="1:4" x14ac:dyDescent="0.25">
      <c r="A1681" s="2">
        <v>38322</v>
      </c>
      <c r="B1681" s="1" t="s">
        <v>11</v>
      </c>
      <c r="C1681" s="1">
        <f>2199.6*(1000)</f>
        <v>2199600</v>
      </c>
      <c r="D1681" s="1">
        <v>0</v>
      </c>
    </row>
    <row r="1682" spans="1:4" x14ac:dyDescent="0.25">
      <c r="A1682" s="2">
        <v>38353</v>
      </c>
      <c r="B1682" s="1" t="s">
        <v>11</v>
      </c>
      <c r="C1682" s="1">
        <f>2202.9*(1000)</f>
        <v>2202900</v>
      </c>
      <c r="D1682" s="1">
        <v>0</v>
      </c>
    </row>
    <row r="1683" spans="1:4" x14ac:dyDescent="0.25">
      <c r="A1683" s="2">
        <v>38384</v>
      </c>
      <c r="B1683" s="1" t="s">
        <v>11</v>
      </c>
      <c r="C1683" s="1">
        <f>2207.9*(1000)</f>
        <v>2207900</v>
      </c>
      <c r="D1683" s="1">
        <v>0</v>
      </c>
    </row>
    <row r="1684" spans="1:4" x14ac:dyDescent="0.25">
      <c r="A1684" s="2">
        <v>38412</v>
      </c>
      <c r="B1684" s="1" t="s">
        <v>11</v>
      </c>
      <c r="C1684" s="1">
        <f>2212.8*(1000)</f>
        <v>2212800</v>
      </c>
      <c r="D1684" s="1">
        <v>0</v>
      </c>
    </row>
    <row r="1685" spans="1:4" x14ac:dyDescent="0.25">
      <c r="A1685" s="2">
        <v>38443</v>
      </c>
      <c r="B1685" s="1" t="s">
        <v>11</v>
      </c>
      <c r="C1685" s="1">
        <f>2212.4*(1000)</f>
        <v>2212400</v>
      </c>
      <c r="D1685" s="1">
        <v>0</v>
      </c>
    </row>
    <row r="1686" spans="1:4" x14ac:dyDescent="0.25">
      <c r="A1686" s="2">
        <v>38473</v>
      </c>
      <c r="B1686" s="1" t="s">
        <v>11</v>
      </c>
      <c r="C1686" s="1">
        <f>2217.1*(1000)</f>
        <v>2217100</v>
      </c>
      <c r="D1686" s="1">
        <v>0</v>
      </c>
    </row>
    <row r="1687" spans="1:4" x14ac:dyDescent="0.25">
      <c r="A1687" s="2">
        <v>38504</v>
      </c>
      <c r="B1687" s="1" t="s">
        <v>11</v>
      </c>
      <c r="C1687" s="1">
        <f>2218.5*(1000)</f>
        <v>2218500</v>
      </c>
      <c r="D1687" s="1">
        <v>0</v>
      </c>
    </row>
    <row r="1688" spans="1:4" x14ac:dyDescent="0.25">
      <c r="A1688" s="2">
        <v>38534</v>
      </c>
      <c r="B1688" s="1" t="s">
        <v>11</v>
      </c>
      <c r="C1688" s="1">
        <f>2230.5*(1000)</f>
        <v>2230500</v>
      </c>
      <c r="D1688" s="1">
        <v>0</v>
      </c>
    </row>
    <row r="1689" spans="1:4" x14ac:dyDescent="0.25">
      <c r="A1689" s="2">
        <v>38565</v>
      </c>
      <c r="B1689" s="1" t="s">
        <v>11</v>
      </c>
      <c r="C1689" s="1">
        <f>2231.2*(1000)</f>
        <v>2231200</v>
      </c>
      <c r="D1689" s="1">
        <v>0</v>
      </c>
    </row>
    <row r="1690" spans="1:4" x14ac:dyDescent="0.25">
      <c r="A1690" s="2">
        <v>38596</v>
      </c>
      <c r="B1690" s="1" t="s">
        <v>11</v>
      </c>
      <c r="C1690" s="1">
        <f>2238.9*(1000)</f>
        <v>2238900</v>
      </c>
      <c r="D1690" s="1">
        <v>0</v>
      </c>
    </row>
    <row r="1691" spans="1:4" x14ac:dyDescent="0.25">
      <c r="A1691" s="2">
        <v>38626</v>
      </c>
      <c r="B1691" s="1" t="s">
        <v>11</v>
      </c>
      <c r="C1691" s="1">
        <f>2241.5*(1000)</f>
        <v>2241500</v>
      </c>
      <c r="D1691" s="1">
        <v>0</v>
      </c>
    </row>
    <row r="1692" spans="1:4" x14ac:dyDescent="0.25">
      <c r="A1692" s="2">
        <v>38657</v>
      </c>
      <c r="B1692" s="1" t="s">
        <v>11</v>
      </c>
      <c r="C1692" s="1">
        <f>2245.8*(1000)</f>
        <v>2245800</v>
      </c>
      <c r="D1692" s="1">
        <v>0</v>
      </c>
    </row>
    <row r="1693" spans="1:4" x14ac:dyDescent="0.25">
      <c r="A1693" s="2">
        <v>38687</v>
      </c>
      <c r="B1693" s="1" t="s">
        <v>11</v>
      </c>
      <c r="C1693" s="1">
        <f>2251.4*(1000)</f>
        <v>2251400</v>
      </c>
      <c r="D1693" s="1">
        <v>0</v>
      </c>
    </row>
    <row r="1694" spans="1:4" x14ac:dyDescent="0.25">
      <c r="A1694" s="2">
        <v>38718</v>
      </c>
      <c r="B1694" s="1" t="s">
        <v>11</v>
      </c>
      <c r="C1694" s="1">
        <f>2259.8*(1000)</f>
        <v>2259800</v>
      </c>
      <c r="D1694" s="1">
        <v>0</v>
      </c>
    </row>
    <row r="1695" spans="1:4" x14ac:dyDescent="0.25">
      <c r="A1695" s="2">
        <v>38749</v>
      </c>
      <c r="B1695" s="1" t="s">
        <v>11</v>
      </c>
      <c r="C1695" s="1">
        <f>2263.7*(1000)</f>
        <v>2263700</v>
      </c>
      <c r="D1695" s="1">
        <v>0</v>
      </c>
    </row>
    <row r="1696" spans="1:4" x14ac:dyDescent="0.25">
      <c r="A1696" s="2">
        <v>38777</v>
      </c>
      <c r="B1696" s="1" t="s">
        <v>11</v>
      </c>
      <c r="C1696" s="1">
        <f>2268.6*(1000)</f>
        <v>2268600</v>
      </c>
      <c r="D1696" s="1">
        <v>0</v>
      </c>
    </row>
    <row r="1697" spans="1:4" x14ac:dyDescent="0.25">
      <c r="A1697" s="2">
        <v>38808</v>
      </c>
      <c r="B1697" s="1" t="s">
        <v>11</v>
      </c>
      <c r="C1697" s="1">
        <f>2270.6*(1000)</f>
        <v>2270600</v>
      </c>
      <c r="D1697" s="1">
        <v>0</v>
      </c>
    </row>
    <row r="1698" spans="1:4" x14ac:dyDescent="0.25">
      <c r="A1698" s="2">
        <v>38838</v>
      </c>
      <c r="B1698" s="1" t="s">
        <v>11</v>
      </c>
      <c r="C1698" s="1">
        <f>2275.3*(1000)</f>
        <v>2275300</v>
      </c>
      <c r="D1698" s="1">
        <v>0</v>
      </c>
    </row>
    <row r="1699" spans="1:4" x14ac:dyDescent="0.25">
      <c r="A1699" s="2">
        <v>38869</v>
      </c>
      <c r="B1699" s="1" t="s">
        <v>11</v>
      </c>
      <c r="C1699" s="1">
        <f>2281.4*(1000)</f>
        <v>2281400</v>
      </c>
      <c r="D1699" s="1">
        <v>0</v>
      </c>
    </row>
    <row r="1700" spans="1:4" x14ac:dyDescent="0.25">
      <c r="A1700" s="2">
        <v>38899</v>
      </c>
      <c r="B1700" s="1" t="s">
        <v>11</v>
      </c>
      <c r="C1700" s="1">
        <f>2279.3*(1000)</f>
        <v>2279300</v>
      </c>
      <c r="D1700" s="1">
        <v>0</v>
      </c>
    </row>
    <row r="1701" spans="1:4" x14ac:dyDescent="0.25">
      <c r="A1701" s="2">
        <v>38930</v>
      </c>
      <c r="B1701" s="1" t="s">
        <v>11</v>
      </c>
      <c r="C1701" s="1">
        <f>2283.6*(1000)</f>
        <v>2283600</v>
      </c>
      <c r="D1701" s="1">
        <v>0</v>
      </c>
    </row>
    <row r="1702" spans="1:4" x14ac:dyDescent="0.25">
      <c r="A1702" s="2">
        <v>38961</v>
      </c>
      <c r="B1702" s="1" t="s">
        <v>11</v>
      </c>
      <c r="C1702" s="1">
        <f>2285.7*(1000)</f>
        <v>2285700</v>
      </c>
      <c r="D1702" s="1">
        <v>0</v>
      </c>
    </row>
    <row r="1703" spans="1:4" x14ac:dyDescent="0.25">
      <c r="A1703" s="2">
        <v>38991</v>
      </c>
      <c r="B1703" s="1" t="s">
        <v>11</v>
      </c>
      <c r="C1703" s="1">
        <f>2289.7*(1000)</f>
        <v>2289700</v>
      </c>
      <c r="D1703" s="1">
        <v>0</v>
      </c>
    </row>
    <row r="1704" spans="1:4" x14ac:dyDescent="0.25">
      <c r="A1704" s="2">
        <v>39022</v>
      </c>
      <c r="B1704" s="1" t="s">
        <v>11</v>
      </c>
      <c r="C1704" s="1">
        <f>2294.6*(1000)</f>
        <v>2294600</v>
      </c>
      <c r="D1704" s="1">
        <v>0</v>
      </c>
    </row>
    <row r="1705" spans="1:4" x14ac:dyDescent="0.25">
      <c r="A1705" s="2">
        <v>39052</v>
      </c>
      <c r="B1705" s="1" t="s">
        <v>11</v>
      </c>
      <c r="C1705" s="1">
        <f>2303.7*(1000)</f>
        <v>2303700</v>
      </c>
      <c r="D1705" s="1">
        <v>0</v>
      </c>
    </row>
    <row r="1706" spans="1:4" x14ac:dyDescent="0.25">
      <c r="A1706" s="2">
        <v>39083</v>
      </c>
      <c r="B1706" s="1" t="s">
        <v>11</v>
      </c>
      <c r="C1706" s="1">
        <f>2302.7*(1000)</f>
        <v>2302700</v>
      </c>
      <c r="D1706" s="1">
        <v>0</v>
      </c>
    </row>
    <row r="1707" spans="1:4" x14ac:dyDescent="0.25">
      <c r="A1707" s="2">
        <v>39114</v>
      </c>
      <c r="B1707" s="1" t="s">
        <v>11</v>
      </c>
      <c r="C1707" s="1">
        <f>2309*(1000)</f>
        <v>2309000</v>
      </c>
      <c r="D1707" s="1">
        <v>0</v>
      </c>
    </row>
    <row r="1708" spans="1:4" x14ac:dyDescent="0.25">
      <c r="A1708" s="2">
        <v>39142</v>
      </c>
      <c r="B1708" s="1" t="s">
        <v>11</v>
      </c>
      <c r="C1708" s="1">
        <f>2320.3*(1000)</f>
        <v>2320300</v>
      </c>
      <c r="D1708" s="1">
        <v>0</v>
      </c>
    </row>
    <row r="1709" spans="1:4" x14ac:dyDescent="0.25">
      <c r="A1709" s="2">
        <v>39173</v>
      </c>
      <c r="B1709" s="1" t="s">
        <v>11</v>
      </c>
      <c r="C1709" s="1">
        <f>2324.6*(1000)</f>
        <v>2324600</v>
      </c>
      <c r="D1709" s="1">
        <v>0</v>
      </c>
    </row>
    <row r="1710" spans="1:4" x14ac:dyDescent="0.25">
      <c r="A1710" s="2">
        <v>39203</v>
      </c>
      <c r="B1710" s="1" t="s">
        <v>11</v>
      </c>
      <c r="C1710" s="1">
        <f>2328.3*(1000)</f>
        <v>2328300</v>
      </c>
      <c r="D1710" s="1">
        <v>0</v>
      </c>
    </row>
    <row r="1711" spans="1:4" x14ac:dyDescent="0.25">
      <c r="A1711" s="2">
        <v>39234</v>
      </c>
      <c r="B1711" s="1" t="s">
        <v>11</v>
      </c>
      <c r="C1711" s="1">
        <f>2333.3*(1000)</f>
        <v>2333300</v>
      </c>
      <c r="D1711" s="1">
        <v>0</v>
      </c>
    </row>
    <row r="1712" spans="1:4" x14ac:dyDescent="0.25">
      <c r="A1712" s="2">
        <v>39264</v>
      </c>
      <c r="B1712" s="1" t="s">
        <v>11</v>
      </c>
      <c r="C1712" s="1">
        <f>2335*(1000)</f>
        <v>2335000</v>
      </c>
      <c r="D1712" s="1">
        <v>0</v>
      </c>
    </row>
    <row r="1713" spans="1:4" x14ac:dyDescent="0.25">
      <c r="A1713" s="2">
        <v>39295</v>
      </c>
      <c r="B1713" s="1" t="s">
        <v>11</v>
      </c>
      <c r="C1713" s="1">
        <f>2334.7*(1000)</f>
        <v>2334700</v>
      </c>
      <c r="D1713" s="1">
        <v>0</v>
      </c>
    </row>
    <row r="1714" spans="1:4" x14ac:dyDescent="0.25">
      <c r="A1714" s="2">
        <v>39326</v>
      </c>
      <c r="B1714" s="1" t="s">
        <v>11</v>
      </c>
      <c r="C1714" s="1">
        <f>2341.5*(1000)</f>
        <v>2341500</v>
      </c>
      <c r="D1714" s="1">
        <v>0</v>
      </c>
    </row>
    <row r="1715" spans="1:4" x14ac:dyDescent="0.25">
      <c r="A1715" s="2">
        <v>39356</v>
      </c>
      <c r="B1715" s="1" t="s">
        <v>11</v>
      </c>
      <c r="C1715" s="1">
        <f>2345.2*(1000)</f>
        <v>2345200</v>
      </c>
      <c r="D1715" s="1">
        <v>0</v>
      </c>
    </row>
    <row r="1716" spans="1:4" x14ac:dyDescent="0.25">
      <c r="A1716" s="2">
        <v>39387</v>
      </c>
      <c r="B1716" s="1" t="s">
        <v>11</v>
      </c>
      <c r="C1716" s="1">
        <f>2348.2*(1000)</f>
        <v>2348200</v>
      </c>
      <c r="D1716" s="1">
        <v>0</v>
      </c>
    </row>
    <row r="1717" spans="1:4" x14ac:dyDescent="0.25">
      <c r="A1717" s="2">
        <v>39417</v>
      </c>
      <c r="B1717" s="1" t="s">
        <v>11</v>
      </c>
      <c r="C1717" s="1">
        <f>2350.5*(1000)</f>
        <v>2350500</v>
      </c>
      <c r="D1717" s="1">
        <v>0</v>
      </c>
    </row>
    <row r="1718" spans="1:4" x14ac:dyDescent="0.25">
      <c r="A1718" s="2">
        <v>39448</v>
      </c>
      <c r="B1718" s="1" t="s">
        <v>11</v>
      </c>
      <c r="C1718" s="1">
        <f>2353.2*(1000)</f>
        <v>2353200</v>
      </c>
      <c r="D1718" s="1">
        <v>0</v>
      </c>
    </row>
    <row r="1719" spans="1:4" x14ac:dyDescent="0.25">
      <c r="A1719" s="2">
        <v>39479</v>
      </c>
      <c r="B1719" s="1" t="s">
        <v>11</v>
      </c>
      <c r="C1719" s="1">
        <f>2358.1*(1000)</f>
        <v>2358100</v>
      </c>
      <c r="D1719" s="1">
        <v>0</v>
      </c>
    </row>
    <row r="1720" spans="1:4" x14ac:dyDescent="0.25">
      <c r="A1720" s="2">
        <v>39508</v>
      </c>
      <c r="B1720" s="1" t="s">
        <v>11</v>
      </c>
      <c r="C1720" s="1">
        <f>2357.2*(1000)</f>
        <v>2357200</v>
      </c>
      <c r="D1720" s="1">
        <v>0</v>
      </c>
    </row>
    <row r="1721" spans="1:4" x14ac:dyDescent="0.25">
      <c r="A1721" s="2">
        <v>39539</v>
      </c>
      <c r="B1721" s="1" t="s">
        <v>11</v>
      </c>
      <c r="C1721" s="1">
        <f>2360.7*(1000)</f>
        <v>2360700</v>
      </c>
      <c r="D1721" s="1">
        <v>0</v>
      </c>
    </row>
    <row r="1722" spans="1:4" x14ac:dyDescent="0.25">
      <c r="A1722" s="2">
        <v>39569</v>
      </c>
      <c r="B1722" s="1" t="s">
        <v>11</v>
      </c>
      <c r="C1722" s="1">
        <f>2362.7*(1000)</f>
        <v>2362700</v>
      </c>
      <c r="D1722" s="1">
        <v>0</v>
      </c>
    </row>
    <row r="1723" spans="1:4" x14ac:dyDescent="0.25">
      <c r="A1723" s="2">
        <v>39600</v>
      </c>
      <c r="B1723" s="1" t="s">
        <v>11</v>
      </c>
      <c r="C1723" s="1">
        <f>2359*(1000)</f>
        <v>2359000</v>
      </c>
      <c r="D1723" s="1">
        <v>0</v>
      </c>
    </row>
    <row r="1724" spans="1:4" x14ac:dyDescent="0.25">
      <c r="A1724" s="2">
        <v>39630</v>
      </c>
      <c r="B1724" s="1" t="s">
        <v>11</v>
      </c>
      <c r="C1724" s="1">
        <f>2357.6*(1000)</f>
        <v>2357600</v>
      </c>
      <c r="D1724" s="1">
        <v>0</v>
      </c>
    </row>
    <row r="1725" spans="1:4" x14ac:dyDescent="0.25">
      <c r="A1725" s="2">
        <v>39661</v>
      </c>
      <c r="B1725" s="1" t="s">
        <v>11</v>
      </c>
      <c r="C1725" s="1">
        <f>2356.4*(1000)</f>
        <v>2356400</v>
      </c>
      <c r="D1725" s="1">
        <v>0</v>
      </c>
    </row>
    <row r="1726" spans="1:4" x14ac:dyDescent="0.25">
      <c r="A1726" s="2">
        <v>39692</v>
      </c>
      <c r="B1726" s="1" t="s">
        <v>11</v>
      </c>
      <c r="C1726" s="1">
        <f>2350.4*(1000)</f>
        <v>2350400</v>
      </c>
      <c r="D1726" s="1">
        <v>0</v>
      </c>
    </row>
    <row r="1727" spans="1:4" x14ac:dyDescent="0.25">
      <c r="A1727" s="2">
        <v>39722</v>
      </c>
      <c r="B1727" s="1" t="s">
        <v>11</v>
      </c>
      <c r="C1727" s="1">
        <f>2340.9*(1000)</f>
        <v>2340900</v>
      </c>
      <c r="D1727" s="1">
        <v>0</v>
      </c>
    </row>
    <row r="1728" spans="1:4" x14ac:dyDescent="0.25">
      <c r="A1728" s="2">
        <v>39753</v>
      </c>
      <c r="B1728" s="1" t="s">
        <v>11</v>
      </c>
      <c r="C1728" s="1">
        <f>2332.5*(1000)</f>
        <v>2332500</v>
      </c>
      <c r="D1728" s="1">
        <v>0</v>
      </c>
    </row>
    <row r="1729" spans="1:4" x14ac:dyDescent="0.25">
      <c r="A1729" s="2">
        <v>39783</v>
      </c>
      <c r="B1729" s="1" t="s">
        <v>11</v>
      </c>
      <c r="C1729" s="1">
        <f>2318.7*(1000)</f>
        <v>2318700</v>
      </c>
      <c r="D1729" s="1">
        <v>0</v>
      </c>
    </row>
    <row r="1730" spans="1:4" x14ac:dyDescent="0.25">
      <c r="A1730" s="2">
        <v>39814</v>
      </c>
      <c r="B1730" s="1" t="s">
        <v>11</v>
      </c>
      <c r="C1730" s="1">
        <f>2308.3*(1000)</f>
        <v>2308300</v>
      </c>
      <c r="D1730" s="1">
        <v>0</v>
      </c>
    </row>
    <row r="1731" spans="1:4" x14ac:dyDescent="0.25">
      <c r="A1731" s="2">
        <v>39845</v>
      </c>
      <c r="B1731" s="1" t="s">
        <v>11</v>
      </c>
      <c r="C1731" s="1">
        <f>2287.6*(1000)</f>
        <v>2287600</v>
      </c>
      <c r="D1731" s="1">
        <v>0</v>
      </c>
    </row>
    <row r="1732" spans="1:4" x14ac:dyDescent="0.25">
      <c r="A1732" s="2">
        <v>39873</v>
      </c>
      <c r="B1732" s="1" t="s">
        <v>11</v>
      </c>
      <c r="C1732" s="1">
        <f>2271.7*(1000)</f>
        <v>2271700</v>
      </c>
      <c r="D1732" s="1">
        <v>0</v>
      </c>
    </row>
    <row r="1733" spans="1:4" x14ac:dyDescent="0.25">
      <c r="A1733" s="2">
        <v>39904</v>
      </c>
      <c r="B1733" s="1" t="s">
        <v>11</v>
      </c>
      <c r="C1733" s="1">
        <f>2254.5*(1000)</f>
        <v>2254500</v>
      </c>
      <c r="D1733" s="1">
        <v>0</v>
      </c>
    </row>
    <row r="1734" spans="1:4" x14ac:dyDescent="0.25">
      <c r="A1734" s="2">
        <v>39934</v>
      </c>
      <c r="B1734" s="1" t="s">
        <v>11</v>
      </c>
      <c r="C1734" s="1">
        <f>2251.7*(1000)</f>
        <v>2251700</v>
      </c>
      <c r="D1734" s="1">
        <v>0</v>
      </c>
    </row>
    <row r="1735" spans="1:4" x14ac:dyDescent="0.25">
      <c r="A1735" s="2">
        <v>39965</v>
      </c>
      <c r="B1735" s="1" t="s">
        <v>11</v>
      </c>
      <c r="C1735" s="1">
        <f>2239.9*(1000)</f>
        <v>2239900</v>
      </c>
      <c r="D1735" s="1">
        <v>0</v>
      </c>
    </row>
    <row r="1736" spans="1:4" x14ac:dyDescent="0.25">
      <c r="A1736" s="2">
        <v>39995</v>
      </c>
      <c r="B1736" s="1" t="s">
        <v>11</v>
      </c>
      <c r="C1736" s="1">
        <f>2232.1*(1000)</f>
        <v>2232100</v>
      </c>
      <c r="D1736" s="1">
        <v>0</v>
      </c>
    </row>
    <row r="1737" spans="1:4" x14ac:dyDescent="0.25">
      <c r="A1737" s="2">
        <v>40026</v>
      </c>
      <c r="B1737" s="1" t="s">
        <v>11</v>
      </c>
      <c r="C1737" s="1">
        <f>2225.9*(1000)</f>
        <v>2225900</v>
      </c>
      <c r="D1737" s="1">
        <v>0</v>
      </c>
    </row>
    <row r="1738" spans="1:4" x14ac:dyDescent="0.25">
      <c r="A1738" s="2">
        <v>40057</v>
      </c>
      <c r="B1738" s="1" t="s">
        <v>11</v>
      </c>
      <c r="C1738" s="1">
        <f>2222.3*(1000)</f>
        <v>2222300</v>
      </c>
      <c r="D1738" s="1">
        <v>0</v>
      </c>
    </row>
    <row r="1739" spans="1:4" x14ac:dyDescent="0.25">
      <c r="A1739" s="2">
        <v>40087</v>
      </c>
      <c r="B1739" s="1" t="s">
        <v>11</v>
      </c>
      <c r="C1739" s="1">
        <f>2219.9*(1000)</f>
        <v>2219900</v>
      </c>
      <c r="D1739" s="1">
        <v>0</v>
      </c>
    </row>
    <row r="1740" spans="1:4" x14ac:dyDescent="0.25">
      <c r="A1740" s="2">
        <v>40118</v>
      </c>
      <c r="B1740" s="1" t="s">
        <v>11</v>
      </c>
      <c r="C1740" s="1">
        <f>2217.7*(1000)</f>
        <v>2217700</v>
      </c>
      <c r="D1740" s="1">
        <v>0</v>
      </c>
    </row>
    <row r="1741" spans="1:4" x14ac:dyDescent="0.25">
      <c r="A1741" s="2">
        <v>40148</v>
      </c>
      <c r="B1741" s="1" t="s">
        <v>11</v>
      </c>
      <c r="C1741" s="1">
        <f>2213.8*(1000)</f>
        <v>2213800</v>
      </c>
      <c r="D1741" s="1">
        <v>0</v>
      </c>
    </row>
    <row r="1742" spans="1:4" x14ac:dyDescent="0.25">
      <c r="A1742" s="2">
        <v>40179</v>
      </c>
      <c r="B1742" s="1" t="s">
        <v>11</v>
      </c>
      <c r="C1742" s="1">
        <f>2211.3*(1000)</f>
        <v>2211300</v>
      </c>
      <c r="D1742" s="1">
        <v>0</v>
      </c>
    </row>
    <row r="1743" spans="1:4" x14ac:dyDescent="0.25">
      <c r="A1743" s="2">
        <v>40210</v>
      </c>
      <c r="B1743" s="1" t="s">
        <v>11</v>
      </c>
      <c r="C1743" s="1">
        <f>2213.5*(1000)</f>
        <v>2213500</v>
      </c>
      <c r="D1743" s="1">
        <v>0</v>
      </c>
    </row>
    <row r="1744" spans="1:4" x14ac:dyDescent="0.25">
      <c r="A1744" s="2">
        <v>40238</v>
      </c>
      <c r="B1744" s="1" t="s">
        <v>11</v>
      </c>
      <c r="C1744" s="1">
        <f>2215.2*(1000)</f>
        <v>2215200</v>
      </c>
      <c r="D1744" s="1">
        <v>0</v>
      </c>
    </row>
    <row r="1745" spans="1:4" x14ac:dyDescent="0.25">
      <c r="A1745" s="2">
        <v>40269</v>
      </c>
      <c r="B1745" s="1" t="s">
        <v>11</v>
      </c>
      <c r="C1745" s="1">
        <f>2217.6*(1000)</f>
        <v>2217600</v>
      </c>
      <c r="D1745" s="1">
        <v>0</v>
      </c>
    </row>
    <row r="1746" spans="1:4" x14ac:dyDescent="0.25">
      <c r="A1746" s="2">
        <v>40299</v>
      </c>
      <c r="B1746" s="1" t="s">
        <v>11</v>
      </c>
      <c r="C1746" s="1">
        <f>2226.8*(1000)</f>
        <v>2226800</v>
      </c>
      <c r="D1746" s="1">
        <v>0</v>
      </c>
    </row>
    <row r="1747" spans="1:4" x14ac:dyDescent="0.25">
      <c r="A1747" s="2">
        <v>40330</v>
      </c>
      <c r="B1747" s="1" t="s">
        <v>11</v>
      </c>
      <c r="C1747" s="1">
        <f>2223*(1000)</f>
        <v>2223000</v>
      </c>
      <c r="D1747" s="1">
        <v>0</v>
      </c>
    </row>
    <row r="1748" spans="1:4" x14ac:dyDescent="0.25">
      <c r="A1748" s="2">
        <v>40360</v>
      </c>
      <c r="B1748" s="1" t="s">
        <v>11</v>
      </c>
      <c r="C1748" s="1">
        <f>2225.5*(1000)</f>
        <v>2225500</v>
      </c>
      <c r="D1748" s="1">
        <v>0</v>
      </c>
    </row>
    <row r="1749" spans="1:4" x14ac:dyDescent="0.25">
      <c r="A1749" s="2">
        <v>40391</v>
      </c>
      <c r="B1749" s="1" t="s">
        <v>11</v>
      </c>
      <c r="C1749" s="1">
        <f>2224.8*(1000)</f>
        <v>2224800</v>
      </c>
      <c r="D1749" s="1">
        <v>0</v>
      </c>
    </row>
    <row r="1750" spans="1:4" x14ac:dyDescent="0.25">
      <c r="A1750" s="2">
        <v>40422</v>
      </c>
      <c r="B1750" s="1" t="s">
        <v>11</v>
      </c>
      <c r="C1750" s="1">
        <f>2220.2*(1000)</f>
        <v>2220200</v>
      </c>
      <c r="D1750" s="1">
        <v>0</v>
      </c>
    </row>
    <row r="1751" spans="1:4" x14ac:dyDescent="0.25">
      <c r="A1751" s="2">
        <v>40452</v>
      </c>
      <c r="B1751" s="1" t="s">
        <v>11</v>
      </c>
      <c r="C1751" s="1">
        <f>2228.4*(1000)</f>
        <v>2228400</v>
      </c>
      <c r="D1751" s="1">
        <v>0</v>
      </c>
    </row>
    <row r="1752" spans="1:4" x14ac:dyDescent="0.25">
      <c r="A1752" s="2">
        <v>40483</v>
      </c>
      <c r="B1752" s="1" t="s">
        <v>11</v>
      </c>
      <c r="C1752" s="1">
        <f>2229*(1000)</f>
        <v>2229000</v>
      </c>
      <c r="D1752" s="1">
        <v>0</v>
      </c>
    </row>
    <row r="1753" spans="1:4" x14ac:dyDescent="0.25">
      <c r="A1753" s="2">
        <v>40513</v>
      </c>
      <c r="B1753" s="1" t="s">
        <v>11</v>
      </c>
      <c r="C1753" s="1">
        <f>2232.8*(1000)</f>
        <v>2232800</v>
      </c>
      <c r="D1753" s="1">
        <v>0</v>
      </c>
    </row>
    <row r="1754" spans="1:4" x14ac:dyDescent="0.25">
      <c r="A1754" s="2">
        <v>40544</v>
      </c>
      <c r="B1754" s="1" t="s">
        <v>11</v>
      </c>
      <c r="C1754" s="1">
        <f>2239.9*(1000)</f>
        <v>2239900</v>
      </c>
      <c r="D1754" s="1">
        <v>0</v>
      </c>
    </row>
    <row r="1755" spans="1:4" x14ac:dyDescent="0.25">
      <c r="A1755" s="2">
        <v>40575</v>
      </c>
      <c r="B1755" s="1" t="s">
        <v>11</v>
      </c>
      <c r="C1755" s="1">
        <f>2238.3*(1000)</f>
        <v>2238300</v>
      </c>
      <c r="D1755" s="1">
        <v>0</v>
      </c>
    </row>
    <row r="1756" spans="1:4" x14ac:dyDescent="0.25">
      <c r="A1756" s="2">
        <v>40603</v>
      </c>
      <c r="B1756" s="1" t="s">
        <v>11</v>
      </c>
      <c r="C1756" s="1">
        <f>2242.9*(1000)</f>
        <v>2242900</v>
      </c>
      <c r="D1756" s="1">
        <v>0</v>
      </c>
    </row>
    <row r="1757" spans="1:4" x14ac:dyDescent="0.25">
      <c r="A1757" s="2">
        <v>40634</v>
      </c>
      <c r="B1757" s="1" t="s">
        <v>11</v>
      </c>
      <c r="C1757" s="1">
        <f>2252.8*(1000)</f>
        <v>2252800</v>
      </c>
      <c r="D1757" s="1">
        <v>0</v>
      </c>
    </row>
    <row r="1758" spans="1:4" x14ac:dyDescent="0.25">
      <c r="A1758" s="2">
        <v>40664</v>
      </c>
      <c r="B1758" s="1" t="s">
        <v>11</v>
      </c>
      <c r="C1758" s="1">
        <f>2253.7*(1000)</f>
        <v>2253700</v>
      </c>
      <c r="D1758" s="1">
        <v>0</v>
      </c>
    </row>
    <row r="1759" spans="1:4" x14ac:dyDescent="0.25">
      <c r="A1759" s="2">
        <v>40695</v>
      </c>
      <c r="B1759" s="1" t="s">
        <v>11</v>
      </c>
      <c r="C1759" s="1">
        <f>2254.1*(1000)</f>
        <v>2254100</v>
      </c>
      <c r="D1759" s="1">
        <v>0</v>
      </c>
    </row>
    <row r="1760" spans="1:4" x14ac:dyDescent="0.25">
      <c r="A1760" s="2">
        <v>40725</v>
      </c>
      <c r="B1760" s="1" t="s">
        <v>11</v>
      </c>
      <c r="C1760" s="1">
        <f>2259.1*(1000)</f>
        <v>2259100</v>
      </c>
      <c r="D1760" s="1">
        <v>0</v>
      </c>
    </row>
    <row r="1761" spans="1:4" x14ac:dyDescent="0.25">
      <c r="A1761" s="2">
        <v>40756</v>
      </c>
      <c r="B1761" s="1" t="s">
        <v>11</v>
      </c>
      <c r="C1761" s="1">
        <f>2264.6*(1000)</f>
        <v>2264600</v>
      </c>
      <c r="D1761" s="1">
        <v>0</v>
      </c>
    </row>
    <row r="1762" spans="1:4" x14ac:dyDescent="0.25">
      <c r="A1762" s="2">
        <v>40787</v>
      </c>
      <c r="B1762" s="1" t="s">
        <v>11</v>
      </c>
      <c r="C1762" s="1">
        <f>2272.7*(1000)</f>
        <v>2272700</v>
      </c>
      <c r="D1762" s="1">
        <v>0</v>
      </c>
    </row>
    <row r="1763" spans="1:4" x14ac:dyDescent="0.25">
      <c r="A1763" s="2">
        <v>40817</v>
      </c>
      <c r="B1763" s="1" t="s">
        <v>11</v>
      </c>
      <c r="C1763" s="1">
        <f>2269.9*(1000)</f>
        <v>2269900</v>
      </c>
      <c r="D1763" s="1">
        <v>0</v>
      </c>
    </row>
    <row r="1764" spans="1:4" x14ac:dyDescent="0.25">
      <c r="A1764" s="2">
        <v>40848</v>
      </c>
      <c r="B1764" s="1" t="s">
        <v>11</v>
      </c>
      <c r="C1764" s="1">
        <f>2275.2*(1000)</f>
        <v>2275200</v>
      </c>
      <c r="D1764" s="1">
        <v>0</v>
      </c>
    </row>
    <row r="1765" spans="1:4" x14ac:dyDescent="0.25">
      <c r="A1765" s="2">
        <v>40878</v>
      </c>
      <c r="B1765" s="1" t="s">
        <v>11</v>
      </c>
      <c r="C1765" s="1">
        <f>2279.7*(1000)</f>
        <v>2279700</v>
      </c>
      <c r="D1765" s="1">
        <v>0</v>
      </c>
    </row>
    <row r="1766" spans="1:4" x14ac:dyDescent="0.25">
      <c r="A1766" s="2">
        <v>40909</v>
      </c>
      <c r="B1766" s="1" t="s">
        <v>11</v>
      </c>
      <c r="C1766" s="1">
        <f>2286.7*(1000)</f>
        <v>2286700</v>
      </c>
      <c r="D1766" s="1">
        <v>0</v>
      </c>
    </row>
    <row r="1767" spans="1:4" x14ac:dyDescent="0.25">
      <c r="A1767" s="2">
        <v>40940</v>
      </c>
      <c r="B1767" s="1" t="s">
        <v>11</v>
      </c>
      <c r="C1767" s="1">
        <f>2288.4*(1000)</f>
        <v>2288400</v>
      </c>
      <c r="D1767" s="1">
        <v>0</v>
      </c>
    </row>
    <row r="1768" spans="1:4" x14ac:dyDescent="0.25">
      <c r="A1768" s="2">
        <v>40969</v>
      </c>
      <c r="B1768" s="1" t="s">
        <v>11</v>
      </c>
      <c r="C1768" s="1">
        <f>2295.8*(1000)</f>
        <v>2295800</v>
      </c>
      <c r="D1768" s="1">
        <v>0</v>
      </c>
    </row>
    <row r="1769" spans="1:4" x14ac:dyDescent="0.25">
      <c r="A1769" s="2">
        <v>41000</v>
      </c>
      <c r="B1769" s="1" t="s">
        <v>11</v>
      </c>
      <c r="C1769" s="1">
        <f>2301.1*(1000)</f>
        <v>2301100</v>
      </c>
      <c r="D1769" s="1">
        <v>0</v>
      </c>
    </row>
    <row r="1770" spans="1:4" x14ac:dyDescent="0.25">
      <c r="A1770" s="2">
        <v>41030</v>
      </c>
      <c r="B1770" s="1" t="s">
        <v>11</v>
      </c>
      <c r="C1770" s="1">
        <f>2304.1*(1000)</f>
        <v>2304100</v>
      </c>
      <c r="D1770" s="1">
        <v>0</v>
      </c>
    </row>
    <row r="1771" spans="1:4" x14ac:dyDescent="0.25">
      <c r="A1771" s="2">
        <v>41061</v>
      </c>
      <c r="B1771" s="1" t="s">
        <v>11</v>
      </c>
      <c r="C1771" s="1">
        <f>2309.9*(1000)</f>
        <v>2309900</v>
      </c>
      <c r="D1771" s="1">
        <v>0</v>
      </c>
    </row>
    <row r="1772" spans="1:4" x14ac:dyDescent="0.25">
      <c r="A1772" s="2">
        <v>41091</v>
      </c>
      <c r="B1772" s="1" t="s">
        <v>11</v>
      </c>
      <c r="C1772" s="1">
        <f>2314.9*(1000)</f>
        <v>2314900</v>
      </c>
      <c r="D1772" s="1">
        <v>0</v>
      </c>
    </row>
    <row r="1773" spans="1:4" x14ac:dyDescent="0.25">
      <c r="A1773" s="2">
        <v>41122</v>
      </c>
      <c r="B1773" s="1" t="s">
        <v>11</v>
      </c>
      <c r="C1773" s="1">
        <f>2316.7*(1000)</f>
        <v>2316700</v>
      </c>
      <c r="D1773" s="1">
        <v>0</v>
      </c>
    </row>
    <row r="1774" spans="1:4" x14ac:dyDescent="0.25">
      <c r="A1774" s="2">
        <v>41153</v>
      </c>
      <c r="B1774" s="1" t="s">
        <v>11</v>
      </c>
      <c r="C1774" s="1">
        <f>2323.3*(1000)</f>
        <v>2323300</v>
      </c>
      <c r="D1774" s="1">
        <v>0</v>
      </c>
    </row>
    <row r="1775" spans="1:4" x14ac:dyDescent="0.25">
      <c r="A1775" s="2">
        <v>41183</v>
      </c>
      <c r="B1775" s="1" t="s">
        <v>11</v>
      </c>
      <c r="C1775" s="1">
        <f>2333.7*(1000)</f>
        <v>2333700</v>
      </c>
      <c r="D1775" s="1">
        <v>0</v>
      </c>
    </row>
    <row r="1776" spans="1:4" x14ac:dyDescent="0.25">
      <c r="A1776" s="2">
        <v>41214</v>
      </c>
      <c r="B1776" s="1" t="s">
        <v>11</v>
      </c>
      <c r="C1776" s="1">
        <f>2337.3*(1000)</f>
        <v>2337300</v>
      </c>
      <c r="D1776" s="1">
        <v>0</v>
      </c>
    </row>
    <row r="1777" spans="1:4" x14ac:dyDescent="0.25">
      <c r="A1777" s="2">
        <v>41244</v>
      </c>
      <c r="B1777" s="1" t="s">
        <v>11</v>
      </c>
      <c r="C1777" s="1">
        <f>2341.9*(1000)</f>
        <v>2341900</v>
      </c>
      <c r="D1777" s="1">
        <v>0</v>
      </c>
    </row>
    <row r="1778" spans="1:4" x14ac:dyDescent="0.25">
      <c r="A1778" s="2">
        <v>41275</v>
      </c>
      <c r="B1778" s="1" t="s">
        <v>11</v>
      </c>
      <c r="C1778" s="1">
        <f>2349*(1000)</f>
        <v>2349000</v>
      </c>
      <c r="D1778" s="1">
        <v>0</v>
      </c>
    </row>
    <row r="1779" spans="1:4" x14ac:dyDescent="0.25">
      <c r="A1779" s="2">
        <v>41306</v>
      </c>
      <c r="B1779" s="1" t="s">
        <v>11</v>
      </c>
      <c r="C1779" s="1">
        <f>2357*(1000)</f>
        <v>2357000</v>
      </c>
      <c r="D1779" s="1">
        <v>0</v>
      </c>
    </row>
    <row r="1780" spans="1:4" x14ac:dyDescent="0.25">
      <c r="A1780" s="2">
        <v>41334</v>
      </c>
      <c r="B1780" s="1" t="s">
        <v>11</v>
      </c>
      <c r="C1780" s="1">
        <f>2362.3*(1000)</f>
        <v>2362300</v>
      </c>
      <c r="D1780" s="1">
        <v>0</v>
      </c>
    </row>
    <row r="1781" spans="1:4" x14ac:dyDescent="0.25">
      <c r="A1781" s="2">
        <v>41365</v>
      </c>
      <c r="B1781" s="1" t="s">
        <v>11</v>
      </c>
      <c r="C1781" s="1">
        <f>2367.3*(1000)</f>
        <v>2367300</v>
      </c>
      <c r="D1781" s="1">
        <v>0</v>
      </c>
    </row>
    <row r="1782" spans="1:4" x14ac:dyDescent="0.25">
      <c r="A1782" s="2">
        <v>41395</v>
      </c>
      <c r="B1782" s="1" t="s">
        <v>11</v>
      </c>
      <c r="C1782" s="1">
        <f>2373.3*(1000)</f>
        <v>2373300</v>
      </c>
      <c r="D1782" s="1">
        <v>0</v>
      </c>
    </row>
    <row r="1783" spans="1:4" x14ac:dyDescent="0.25">
      <c r="A1783" s="2">
        <v>41426</v>
      </c>
      <c r="B1783" s="1" t="s">
        <v>11</v>
      </c>
      <c r="C1783" s="1">
        <f>2380.5*(1000)</f>
        <v>2380500</v>
      </c>
      <c r="D1783" s="1">
        <v>0</v>
      </c>
    </row>
    <row r="1784" spans="1:4" x14ac:dyDescent="0.25">
      <c r="A1784" s="2">
        <v>41456</v>
      </c>
      <c r="B1784" s="1" t="s">
        <v>11</v>
      </c>
      <c r="C1784" s="1">
        <f>2386.6*(1000)</f>
        <v>2386600</v>
      </c>
      <c r="D1784" s="1">
        <v>0</v>
      </c>
    </row>
    <row r="1785" spans="1:4" x14ac:dyDescent="0.25">
      <c r="A1785" s="2">
        <v>41487</v>
      </c>
      <c r="B1785" s="1" t="s">
        <v>11</v>
      </c>
      <c r="C1785" s="1">
        <f>2393*(1000)</f>
        <v>2393000</v>
      </c>
      <c r="D1785" s="1">
        <v>0</v>
      </c>
    </row>
    <row r="1786" spans="1:4" x14ac:dyDescent="0.25">
      <c r="A1786" s="2">
        <v>41518</v>
      </c>
      <c r="B1786" s="1" t="s">
        <v>11</v>
      </c>
      <c r="C1786" s="1">
        <f>2397.1*(1000)</f>
        <v>2397100</v>
      </c>
      <c r="D1786" s="1">
        <v>0</v>
      </c>
    </row>
    <row r="1787" spans="1:4" x14ac:dyDescent="0.25">
      <c r="A1787" s="2">
        <v>41548</v>
      </c>
      <c r="B1787" s="1" t="s">
        <v>11</v>
      </c>
      <c r="C1787" s="1">
        <f>2400.9*(1000)</f>
        <v>2400900</v>
      </c>
      <c r="D1787" s="1">
        <v>0</v>
      </c>
    </row>
    <row r="1788" spans="1:4" x14ac:dyDescent="0.25">
      <c r="A1788" s="2">
        <v>41579</v>
      </c>
      <c r="B1788" s="1" t="s">
        <v>11</v>
      </c>
      <c r="C1788" s="1">
        <f>2402.9*(1000)</f>
        <v>2402900</v>
      </c>
      <c r="D1788" s="1">
        <v>0</v>
      </c>
    </row>
    <row r="1789" spans="1:4" x14ac:dyDescent="0.25">
      <c r="A1789" s="2">
        <v>41609</v>
      </c>
      <c r="B1789" s="1" t="s">
        <v>11</v>
      </c>
      <c r="C1789" s="1">
        <f>2404.9*(1000)</f>
        <v>2404900</v>
      </c>
      <c r="D1789" s="1">
        <v>0</v>
      </c>
    </row>
    <row r="1790" spans="1:4" x14ac:dyDescent="0.25">
      <c r="A1790" s="2">
        <v>41640</v>
      </c>
      <c r="B1790" s="1" t="s">
        <v>11</v>
      </c>
      <c r="C1790" s="1">
        <f>2416.1*(1000)</f>
        <v>2416100</v>
      </c>
      <c r="D1790" s="1">
        <v>0</v>
      </c>
    </row>
    <row r="1791" spans="1:4" x14ac:dyDescent="0.25">
      <c r="A1791" s="2">
        <v>41671</v>
      </c>
      <c r="B1791" s="1" t="s">
        <v>11</v>
      </c>
      <c r="C1791" s="1">
        <f>2420*(1000)</f>
        <v>2420000</v>
      </c>
      <c r="D1791" s="1">
        <v>0</v>
      </c>
    </row>
    <row r="1792" spans="1:4" x14ac:dyDescent="0.25">
      <c r="A1792" s="2">
        <v>41699</v>
      </c>
      <c r="B1792" s="1" t="s">
        <v>11</v>
      </c>
      <c r="C1792" s="1">
        <f>2424.2*(1000)</f>
        <v>2424200</v>
      </c>
      <c r="D1792" s="1">
        <v>0</v>
      </c>
    </row>
    <row r="1793" spans="1:4" x14ac:dyDescent="0.25">
      <c r="A1793" s="2">
        <v>41730</v>
      </c>
      <c r="B1793" s="1" t="s">
        <v>11</v>
      </c>
      <c r="C1793" s="1">
        <f>2434.7*(1000)</f>
        <v>2434700</v>
      </c>
      <c r="D1793" s="1">
        <v>0</v>
      </c>
    </row>
    <row r="1794" spans="1:4" x14ac:dyDescent="0.25">
      <c r="A1794" s="2">
        <v>41760</v>
      </c>
      <c r="B1794" s="1" t="s">
        <v>11</v>
      </c>
      <c r="C1794" s="1">
        <f>2443.8*(1000)</f>
        <v>2443800</v>
      </c>
      <c r="D1794" s="1">
        <v>0</v>
      </c>
    </row>
    <row r="1795" spans="1:4" x14ac:dyDescent="0.25">
      <c r="A1795" s="2">
        <v>41791</v>
      </c>
      <c r="B1795" s="1" t="s">
        <v>11</v>
      </c>
      <c r="C1795" s="1">
        <f>2446.7*(1000)</f>
        <v>2446700</v>
      </c>
      <c r="D1795" s="1">
        <v>0</v>
      </c>
    </row>
    <row r="1796" spans="1:4" x14ac:dyDescent="0.25">
      <c r="A1796" s="2">
        <v>41821</v>
      </c>
      <c r="B1796" s="1" t="s">
        <v>11</v>
      </c>
      <c r="C1796" s="1">
        <f>2448.1*(1000)</f>
        <v>2448100</v>
      </c>
      <c r="D1796" s="1">
        <v>0</v>
      </c>
    </row>
    <row r="1797" spans="1:4" x14ac:dyDescent="0.25">
      <c r="A1797" s="2">
        <v>41852</v>
      </c>
      <c r="B1797" s="1" t="s">
        <v>11</v>
      </c>
      <c r="C1797" s="1">
        <f>2449.9*(1000)</f>
        <v>2449900</v>
      </c>
      <c r="D1797" s="1">
        <v>0</v>
      </c>
    </row>
    <row r="1798" spans="1:4" x14ac:dyDescent="0.25">
      <c r="A1798" s="2">
        <v>41883</v>
      </c>
      <c r="B1798" s="1" t="s">
        <v>11</v>
      </c>
      <c r="C1798" s="1">
        <f>2461.4*(1000)</f>
        <v>2461400</v>
      </c>
      <c r="D1798" s="1">
        <v>0</v>
      </c>
    </row>
    <row r="1799" spans="1:4" x14ac:dyDescent="0.25">
      <c r="A1799" s="2">
        <v>41913</v>
      </c>
      <c r="B1799" s="1" t="s">
        <v>11</v>
      </c>
      <c r="C1799" s="1">
        <f>2459.8*(1000)</f>
        <v>2459800</v>
      </c>
      <c r="D1799" s="1">
        <v>0</v>
      </c>
    </row>
    <row r="1800" spans="1:4" x14ac:dyDescent="0.25">
      <c r="A1800" s="2">
        <v>41944</v>
      </c>
      <c r="B1800" s="1" t="s">
        <v>11</v>
      </c>
      <c r="C1800" s="1">
        <f>2462.5*(1000)</f>
        <v>2462500</v>
      </c>
      <c r="D1800" s="1">
        <v>0</v>
      </c>
    </row>
    <row r="1801" spans="1:4" x14ac:dyDescent="0.25">
      <c r="A1801" s="2">
        <v>41974</v>
      </c>
      <c r="B1801" s="1" t="s">
        <v>11</v>
      </c>
      <c r="C1801" s="1">
        <f>2467.2*(1000)</f>
        <v>2467200</v>
      </c>
      <c r="D1801" s="1">
        <v>0</v>
      </c>
    </row>
    <row r="1802" spans="1:4" x14ac:dyDescent="0.25">
      <c r="A1802" s="2">
        <v>36526</v>
      </c>
      <c r="B1802" s="1" t="s">
        <v>12</v>
      </c>
      <c r="C1802" s="1">
        <v>1061.4000000000001</v>
      </c>
      <c r="D1802" s="1">
        <v>0</v>
      </c>
    </row>
    <row r="1803" spans="1:4" x14ac:dyDescent="0.25">
      <c r="A1803" s="2">
        <v>36557</v>
      </c>
      <c r="B1803" s="1" t="s">
        <v>12</v>
      </c>
      <c r="C1803" s="1">
        <v>1066.2</v>
      </c>
      <c r="D1803" s="1">
        <v>0</v>
      </c>
    </row>
    <row r="1804" spans="1:4" x14ac:dyDescent="0.25">
      <c r="A1804" s="2">
        <v>36586</v>
      </c>
      <c r="B1804" s="1" t="s">
        <v>12</v>
      </c>
      <c r="C1804" s="1">
        <v>1069.5</v>
      </c>
      <c r="D1804" s="1">
        <v>0</v>
      </c>
    </row>
    <row r="1805" spans="1:4" x14ac:dyDescent="0.25">
      <c r="A1805" s="2">
        <v>36617</v>
      </c>
      <c r="B1805" s="1" t="s">
        <v>12</v>
      </c>
      <c r="C1805" s="1">
        <v>1072.0999999999999</v>
      </c>
      <c r="D1805" s="1">
        <v>0</v>
      </c>
    </row>
    <row r="1806" spans="1:4" x14ac:dyDescent="0.25">
      <c r="A1806" s="2">
        <v>36647</v>
      </c>
      <c r="B1806" s="1" t="s">
        <v>12</v>
      </c>
      <c r="C1806" s="1">
        <v>1074.9000000000001</v>
      </c>
      <c r="D1806" s="1">
        <v>0</v>
      </c>
    </row>
    <row r="1807" spans="1:4" x14ac:dyDescent="0.25">
      <c r="A1807" s="2">
        <v>36678</v>
      </c>
      <c r="B1807" s="1" t="s">
        <v>12</v>
      </c>
      <c r="C1807" s="1">
        <v>1075.5</v>
      </c>
      <c r="D1807" s="1">
        <v>0</v>
      </c>
    </row>
    <row r="1808" spans="1:4" x14ac:dyDescent="0.25">
      <c r="A1808" s="2">
        <v>36708</v>
      </c>
      <c r="B1808" s="1" t="s">
        <v>12</v>
      </c>
      <c r="C1808" s="1">
        <v>1076.2</v>
      </c>
      <c r="D1808" s="1">
        <v>0</v>
      </c>
    </row>
    <row r="1809" spans="1:4" x14ac:dyDescent="0.25">
      <c r="A1809" s="2">
        <v>36739</v>
      </c>
      <c r="B1809" s="1" t="s">
        <v>12</v>
      </c>
      <c r="C1809" s="1">
        <v>1077.2</v>
      </c>
      <c r="D1809" s="1">
        <v>0</v>
      </c>
    </row>
    <row r="1810" spans="1:4" x14ac:dyDescent="0.25">
      <c r="A1810" s="2">
        <v>36770</v>
      </c>
      <c r="B1810" s="1" t="s">
        <v>12</v>
      </c>
      <c r="C1810" s="1">
        <v>1079.4000000000001</v>
      </c>
      <c r="D1810" s="1">
        <v>0</v>
      </c>
    </row>
    <row r="1811" spans="1:4" x14ac:dyDescent="0.25">
      <c r="A1811" s="2">
        <v>36800</v>
      </c>
      <c r="B1811" s="1" t="s">
        <v>12</v>
      </c>
      <c r="C1811" s="1">
        <v>1082.5</v>
      </c>
      <c r="D1811" s="1">
        <v>0</v>
      </c>
    </row>
    <row r="1812" spans="1:4" x14ac:dyDescent="0.25">
      <c r="A1812" s="2">
        <v>36831</v>
      </c>
      <c r="B1812" s="1" t="s">
        <v>12</v>
      </c>
      <c r="C1812" s="1">
        <v>1083.5999999999999</v>
      </c>
      <c r="D1812" s="1">
        <v>0</v>
      </c>
    </row>
    <row r="1813" spans="1:4" x14ac:dyDescent="0.25">
      <c r="A1813" s="2">
        <v>36861</v>
      </c>
      <c r="B1813" s="1" t="s">
        <v>12</v>
      </c>
      <c r="C1813" s="1">
        <v>1086.5999999999999</v>
      </c>
      <c r="D1813" s="1">
        <v>0</v>
      </c>
    </row>
    <row r="1814" spans="1:4" x14ac:dyDescent="0.25">
      <c r="A1814" s="2">
        <v>36892</v>
      </c>
      <c r="B1814" s="1" t="s">
        <v>12</v>
      </c>
      <c r="C1814" s="1">
        <v>1085.0999999999999</v>
      </c>
      <c r="D1814" s="1">
        <v>0</v>
      </c>
    </row>
    <row r="1815" spans="1:4" x14ac:dyDescent="0.25">
      <c r="A1815" s="2">
        <v>36923</v>
      </c>
      <c r="B1815" s="1" t="s">
        <v>12</v>
      </c>
      <c r="C1815" s="1">
        <v>1085.5</v>
      </c>
      <c r="D1815" s="1">
        <v>0</v>
      </c>
    </row>
    <row r="1816" spans="1:4" x14ac:dyDescent="0.25">
      <c r="A1816" s="2">
        <v>36951</v>
      </c>
      <c r="B1816" s="1" t="s">
        <v>12</v>
      </c>
      <c r="C1816" s="1">
        <v>1087.2</v>
      </c>
      <c r="D1816" s="1">
        <v>0</v>
      </c>
    </row>
    <row r="1817" spans="1:4" x14ac:dyDescent="0.25">
      <c r="A1817" s="2">
        <v>36982</v>
      </c>
      <c r="B1817" s="1" t="s">
        <v>12</v>
      </c>
      <c r="C1817" s="1">
        <v>1084.2</v>
      </c>
      <c r="D1817" s="1">
        <v>0</v>
      </c>
    </row>
    <row r="1818" spans="1:4" x14ac:dyDescent="0.25">
      <c r="A1818" s="2">
        <v>37012</v>
      </c>
      <c r="B1818" s="1" t="s">
        <v>12</v>
      </c>
      <c r="C1818" s="1">
        <v>1085.2</v>
      </c>
      <c r="D1818" s="1">
        <v>0</v>
      </c>
    </row>
    <row r="1819" spans="1:4" x14ac:dyDescent="0.25">
      <c r="A1819" s="2">
        <v>37043</v>
      </c>
      <c r="B1819" s="1" t="s">
        <v>12</v>
      </c>
      <c r="C1819" s="1">
        <v>1083.4000000000001</v>
      </c>
      <c r="D1819" s="1">
        <v>0</v>
      </c>
    </row>
    <row r="1820" spans="1:4" x14ac:dyDescent="0.25">
      <c r="A1820" s="2">
        <v>37073</v>
      </c>
      <c r="B1820" s="1" t="s">
        <v>12</v>
      </c>
      <c r="C1820" s="1">
        <v>1082.3</v>
      </c>
      <c r="D1820" s="1">
        <v>0</v>
      </c>
    </row>
    <row r="1821" spans="1:4" x14ac:dyDescent="0.25">
      <c r="A1821" s="2">
        <v>37104</v>
      </c>
      <c r="B1821" s="1" t="s">
        <v>12</v>
      </c>
      <c r="C1821" s="1">
        <v>1081.5999999999999</v>
      </c>
      <c r="D1821" s="1">
        <v>0</v>
      </c>
    </row>
    <row r="1822" spans="1:4" x14ac:dyDescent="0.25">
      <c r="A1822" s="2">
        <v>37135</v>
      </c>
      <c r="B1822" s="1" t="s">
        <v>12</v>
      </c>
      <c r="C1822" s="1">
        <v>1080.5</v>
      </c>
      <c r="D1822" s="1">
        <v>0</v>
      </c>
    </row>
    <row r="1823" spans="1:4" x14ac:dyDescent="0.25">
      <c r="A1823" s="2">
        <v>37165</v>
      </c>
      <c r="B1823" s="1" t="s">
        <v>12</v>
      </c>
      <c r="C1823" s="1">
        <v>1076.5</v>
      </c>
      <c r="D1823" s="1">
        <v>0</v>
      </c>
    </row>
    <row r="1824" spans="1:4" x14ac:dyDescent="0.25">
      <c r="A1824" s="2">
        <v>37196</v>
      </c>
      <c r="B1824" s="1" t="s">
        <v>12</v>
      </c>
      <c r="C1824" s="1">
        <v>1074.8</v>
      </c>
      <c r="D1824" s="1">
        <v>0</v>
      </c>
    </row>
    <row r="1825" spans="1:4" x14ac:dyDescent="0.25">
      <c r="A1825" s="2">
        <v>37226</v>
      </c>
      <c r="B1825" s="1" t="s">
        <v>12</v>
      </c>
      <c r="C1825" s="1">
        <v>1071</v>
      </c>
      <c r="D1825" s="1">
        <v>0</v>
      </c>
    </row>
    <row r="1826" spans="1:4" x14ac:dyDescent="0.25">
      <c r="A1826" s="2">
        <v>37257</v>
      </c>
      <c r="B1826" s="1" t="s">
        <v>12</v>
      </c>
      <c r="C1826" s="1">
        <v>1077.5</v>
      </c>
      <c r="D1826" s="1">
        <v>0</v>
      </c>
    </row>
    <row r="1827" spans="1:4" x14ac:dyDescent="0.25">
      <c r="A1827" s="2">
        <v>37288</v>
      </c>
      <c r="B1827" s="1" t="s">
        <v>12</v>
      </c>
      <c r="C1827" s="1">
        <v>1081.8</v>
      </c>
      <c r="D1827" s="1">
        <v>0</v>
      </c>
    </row>
    <row r="1828" spans="1:4" x14ac:dyDescent="0.25">
      <c r="A1828" s="2">
        <v>37316</v>
      </c>
      <c r="B1828" s="1" t="s">
        <v>12</v>
      </c>
      <c r="C1828" s="1">
        <v>1072.5</v>
      </c>
      <c r="D1828" s="1">
        <v>0</v>
      </c>
    </row>
    <row r="1829" spans="1:4" x14ac:dyDescent="0.25">
      <c r="A1829" s="2">
        <v>37347</v>
      </c>
      <c r="B1829" s="1" t="s">
        <v>12</v>
      </c>
      <c r="C1829" s="1">
        <v>1073.9000000000001</v>
      </c>
      <c r="D1829" s="1">
        <v>0</v>
      </c>
    </row>
    <row r="1830" spans="1:4" x14ac:dyDescent="0.25">
      <c r="A1830" s="2">
        <v>37377</v>
      </c>
      <c r="B1830" s="1" t="s">
        <v>12</v>
      </c>
      <c r="C1830" s="1">
        <v>1070.7</v>
      </c>
      <c r="D1830" s="1">
        <v>0</v>
      </c>
    </row>
    <row r="1831" spans="1:4" x14ac:dyDescent="0.25">
      <c r="A1831" s="2">
        <v>37408</v>
      </c>
      <c r="B1831" s="1" t="s">
        <v>12</v>
      </c>
      <c r="C1831" s="1">
        <v>1070.2</v>
      </c>
      <c r="D1831" s="1">
        <v>0</v>
      </c>
    </row>
    <row r="1832" spans="1:4" x14ac:dyDescent="0.25">
      <c r="A1832" s="2">
        <v>37438</v>
      </c>
      <c r="B1832" s="1" t="s">
        <v>12</v>
      </c>
      <c r="C1832" s="1">
        <v>1072.9000000000001</v>
      </c>
      <c r="D1832" s="1">
        <v>0</v>
      </c>
    </row>
    <row r="1833" spans="1:4" x14ac:dyDescent="0.25">
      <c r="A1833" s="2">
        <v>37469</v>
      </c>
      <c r="B1833" s="1" t="s">
        <v>12</v>
      </c>
      <c r="C1833" s="1">
        <v>1070.7</v>
      </c>
      <c r="D1833" s="1">
        <v>0</v>
      </c>
    </row>
    <row r="1834" spans="1:4" x14ac:dyDescent="0.25">
      <c r="A1834" s="2">
        <v>37500</v>
      </c>
      <c r="B1834" s="1" t="s">
        <v>12</v>
      </c>
      <c r="C1834" s="1">
        <v>1071.8</v>
      </c>
      <c r="D1834" s="1">
        <v>0</v>
      </c>
    </row>
    <row r="1835" spans="1:4" x14ac:dyDescent="0.25">
      <c r="A1835" s="2">
        <v>37530</v>
      </c>
      <c r="B1835" s="1" t="s">
        <v>12</v>
      </c>
      <c r="C1835" s="1">
        <v>1072.9000000000001</v>
      </c>
      <c r="D1835" s="1">
        <v>0</v>
      </c>
    </row>
    <row r="1836" spans="1:4" x14ac:dyDescent="0.25">
      <c r="A1836" s="2">
        <v>37561</v>
      </c>
      <c r="B1836" s="1" t="s">
        <v>12</v>
      </c>
      <c r="C1836" s="1">
        <v>1074</v>
      </c>
      <c r="D1836" s="1">
        <v>0</v>
      </c>
    </row>
    <row r="1837" spans="1:4" x14ac:dyDescent="0.25">
      <c r="A1837" s="2">
        <v>37591</v>
      </c>
      <c r="B1837" s="1" t="s">
        <v>12</v>
      </c>
      <c r="C1837" s="1">
        <v>1072.0999999999999</v>
      </c>
      <c r="D1837" s="1">
        <v>0</v>
      </c>
    </row>
    <row r="1838" spans="1:4" x14ac:dyDescent="0.25">
      <c r="A1838" s="2">
        <v>37622</v>
      </c>
      <c r="B1838" s="1" t="s">
        <v>12</v>
      </c>
      <c r="C1838" s="1">
        <v>1073.2</v>
      </c>
      <c r="D1838" s="1">
        <v>0</v>
      </c>
    </row>
    <row r="1839" spans="1:4" x14ac:dyDescent="0.25">
      <c r="A1839" s="2">
        <v>37653</v>
      </c>
      <c r="B1839" s="1" t="s">
        <v>12</v>
      </c>
      <c r="C1839" s="1">
        <v>1071.3</v>
      </c>
      <c r="D1839" s="1">
        <v>0</v>
      </c>
    </row>
    <row r="1840" spans="1:4" x14ac:dyDescent="0.25">
      <c r="A1840" s="2">
        <v>37681</v>
      </c>
      <c r="B1840" s="1" t="s">
        <v>12</v>
      </c>
      <c r="C1840" s="1">
        <v>1068.8</v>
      </c>
      <c r="D1840" s="1">
        <v>0</v>
      </c>
    </row>
    <row r="1841" spans="1:4" x14ac:dyDescent="0.25">
      <c r="A1841" s="2">
        <v>37712</v>
      </c>
      <c r="B1841" s="1" t="s">
        <v>12</v>
      </c>
      <c r="C1841" s="1">
        <v>1069.4000000000001</v>
      </c>
      <c r="D1841" s="1">
        <v>0</v>
      </c>
    </row>
    <row r="1842" spans="1:4" x14ac:dyDescent="0.25">
      <c r="A1842" s="2">
        <v>37742</v>
      </c>
      <c r="B1842" s="1" t="s">
        <v>12</v>
      </c>
      <c r="C1842" s="1">
        <v>1068.2</v>
      </c>
      <c r="D1842" s="1">
        <v>0</v>
      </c>
    </row>
    <row r="1843" spans="1:4" x14ac:dyDescent="0.25">
      <c r="A1843" s="2">
        <v>37773</v>
      </c>
      <c r="B1843" s="1" t="s">
        <v>12</v>
      </c>
      <c r="C1843" s="1">
        <v>1069.8</v>
      </c>
      <c r="D1843" s="1">
        <v>0</v>
      </c>
    </row>
    <row r="1844" spans="1:4" x14ac:dyDescent="0.25">
      <c r="A1844" s="2">
        <v>37803</v>
      </c>
      <c r="B1844" s="1" t="s">
        <v>12</v>
      </c>
      <c r="C1844" s="1">
        <v>1072.5999999999999</v>
      </c>
      <c r="D1844" s="1">
        <v>0</v>
      </c>
    </row>
    <row r="1845" spans="1:4" x14ac:dyDescent="0.25">
      <c r="A1845" s="2">
        <v>37834</v>
      </c>
      <c r="B1845" s="1" t="s">
        <v>12</v>
      </c>
      <c r="C1845" s="1">
        <v>1074.2</v>
      </c>
      <c r="D1845" s="1">
        <v>0</v>
      </c>
    </row>
    <row r="1846" spans="1:4" x14ac:dyDescent="0.25">
      <c r="A1846" s="2">
        <v>37865</v>
      </c>
      <c r="B1846" s="1" t="s">
        <v>12</v>
      </c>
      <c r="C1846" s="1">
        <v>1075.5999999999999</v>
      </c>
      <c r="D1846" s="1">
        <v>0</v>
      </c>
    </row>
    <row r="1847" spans="1:4" x14ac:dyDescent="0.25">
      <c r="A1847" s="2">
        <v>37895</v>
      </c>
      <c r="B1847" s="1" t="s">
        <v>12</v>
      </c>
      <c r="C1847" s="1">
        <v>1079.5999999999999</v>
      </c>
      <c r="D1847" s="1">
        <v>0</v>
      </c>
    </row>
    <row r="1848" spans="1:4" x14ac:dyDescent="0.25">
      <c r="A1848" s="2">
        <v>37926</v>
      </c>
      <c r="B1848" s="1" t="s">
        <v>12</v>
      </c>
      <c r="C1848" s="1">
        <v>1082.2</v>
      </c>
      <c r="D1848" s="1">
        <v>0</v>
      </c>
    </row>
    <row r="1849" spans="1:4" x14ac:dyDescent="0.25">
      <c r="A1849" s="2">
        <v>37956</v>
      </c>
      <c r="B1849" s="1" t="s">
        <v>12</v>
      </c>
      <c r="C1849" s="1">
        <v>1084.5</v>
      </c>
      <c r="D1849" s="1">
        <v>0</v>
      </c>
    </row>
    <row r="1850" spans="1:4" x14ac:dyDescent="0.25">
      <c r="A1850" s="2">
        <v>37987</v>
      </c>
      <c r="B1850" s="1" t="s">
        <v>12</v>
      </c>
      <c r="C1850" s="1">
        <v>1087.2</v>
      </c>
      <c r="D1850" s="1">
        <v>0</v>
      </c>
    </row>
    <row r="1851" spans="1:4" x14ac:dyDescent="0.25">
      <c r="A1851" s="2">
        <v>38018</v>
      </c>
      <c r="B1851" s="1" t="s">
        <v>12</v>
      </c>
      <c r="C1851" s="1">
        <v>1090.3</v>
      </c>
      <c r="D1851" s="1">
        <v>0</v>
      </c>
    </row>
    <row r="1852" spans="1:4" x14ac:dyDescent="0.25">
      <c r="A1852" s="2">
        <v>38047</v>
      </c>
      <c r="B1852" s="1" t="s">
        <v>12</v>
      </c>
      <c r="C1852" s="1">
        <v>1093</v>
      </c>
      <c r="D1852" s="1">
        <v>0</v>
      </c>
    </row>
    <row r="1853" spans="1:4" x14ac:dyDescent="0.25">
      <c r="A1853" s="2">
        <v>38078</v>
      </c>
      <c r="B1853" s="1" t="s">
        <v>12</v>
      </c>
      <c r="C1853" s="1">
        <v>1097.9000000000001</v>
      </c>
      <c r="D1853" s="1">
        <v>0</v>
      </c>
    </row>
    <row r="1854" spans="1:4" x14ac:dyDescent="0.25">
      <c r="A1854" s="2">
        <v>38108</v>
      </c>
      <c r="B1854" s="1" t="s">
        <v>12</v>
      </c>
      <c r="C1854" s="1">
        <v>1100.2</v>
      </c>
      <c r="D1854" s="1">
        <v>0</v>
      </c>
    </row>
    <row r="1855" spans="1:4" x14ac:dyDescent="0.25">
      <c r="A1855" s="2">
        <v>38139</v>
      </c>
      <c r="B1855" s="1" t="s">
        <v>12</v>
      </c>
      <c r="C1855" s="1">
        <v>1103.7</v>
      </c>
      <c r="D1855" s="1">
        <v>0</v>
      </c>
    </row>
    <row r="1856" spans="1:4" x14ac:dyDescent="0.25">
      <c r="A1856" s="2">
        <v>38169</v>
      </c>
      <c r="B1856" s="1" t="s">
        <v>12</v>
      </c>
      <c r="C1856" s="1">
        <v>1105.5</v>
      </c>
      <c r="D1856" s="1">
        <v>0</v>
      </c>
    </row>
    <row r="1857" spans="1:4" x14ac:dyDescent="0.25">
      <c r="A1857" s="2">
        <v>38200</v>
      </c>
      <c r="B1857" s="1" t="s">
        <v>12</v>
      </c>
      <c r="C1857" s="1">
        <v>1107.4000000000001</v>
      </c>
      <c r="D1857" s="1">
        <v>0</v>
      </c>
    </row>
    <row r="1858" spans="1:4" x14ac:dyDescent="0.25">
      <c r="A1858" s="2">
        <v>38231</v>
      </c>
      <c r="B1858" s="1" t="s">
        <v>12</v>
      </c>
      <c r="C1858" s="1">
        <v>1109.9000000000001</v>
      </c>
      <c r="D1858" s="1">
        <v>0</v>
      </c>
    </row>
    <row r="1859" spans="1:4" x14ac:dyDescent="0.25">
      <c r="A1859" s="2">
        <v>38261</v>
      </c>
      <c r="B1859" s="1" t="s">
        <v>12</v>
      </c>
      <c r="C1859" s="1">
        <v>1115.3</v>
      </c>
      <c r="D1859" s="1">
        <v>0</v>
      </c>
    </row>
    <row r="1860" spans="1:4" x14ac:dyDescent="0.25">
      <c r="A1860" s="2">
        <v>38292</v>
      </c>
      <c r="B1860" s="1" t="s">
        <v>12</v>
      </c>
      <c r="C1860" s="1">
        <v>1120.3</v>
      </c>
      <c r="D1860" s="1">
        <v>0</v>
      </c>
    </row>
    <row r="1861" spans="1:4" x14ac:dyDescent="0.25">
      <c r="A1861" s="2">
        <v>38322</v>
      </c>
      <c r="B1861" s="1" t="s">
        <v>12</v>
      </c>
      <c r="C1861" s="1">
        <v>1122.3</v>
      </c>
      <c r="D1861" s="1">
        <v>0</v>
      </c>
    </row>
    <row r="1862" spans="1:4" x14ac:dyDescent="0.25">
      <c r="A1862" s="2">
        <v>38353</v>
      </c>
      <c r="B1862" s="1" t="s">
        <v>12</v>
      </c>
      <c r="C1862" s="1">
        <v>1125.0999999999999</v>
      </c>
      <c r="D1862" s="1">
        <v>0</v>
      </c>
    </row>
    <row r="1863" spans="1:4" x14ac:dyDescent="0.25">
      <c r="A1863" s="2">
        <v>38384</v>
      </c>
      <c r="B1863" s="1" t="s">
        <v>12</v>
      </c>
      <c r="C1863" s="1">
        <v>1130.8</v>
      </c>
      <c r="D1863" s="1">
        <v>0</v>
      </c>
    </row>
    <row r="1864" spans="1:4" x14ac:dyDescent="0.25">
      <c r="A1864" s="2">
        <v>38412</v>
      </c>
      <c r="B1864" s="1" t="s">
        <v>12</v>
      </c>
      <c r="C1864" s="1">
        <v>1133.3</v>
      </c>
      <c r="D1864" s="1">
        <v>0</v>
      </c>
    </row>
    <row r="1865" spans="1:4" x14ac:dyDescent="0.25">
      <c r="A1865" s="2">
        <v>38443</v>
      </c>
      <c r="B1865" s="1" t="s">
        <v>12</v>
      </c>
      <c r="C1865" s="1">
        <v>1137.3</v>
      </c>
      <c r="D1865" s="1">
        <v>0</v>
      </c>
    </row>
    <row r="1866" spans="1:4" x14ac:dyDescent="0.25">
      <c r="A1866" s="2">
        <v>38473</v>
      </c>
      <c r="B1866" s="1" t="s">
        <v>12</v>
      </c>
      <c r="C1866" s="1">
        <v>1140.0999999999999</v>
      </c>
      <c r="D1866" s="1">
        <v>0</v>
      </c>
    </row>
    <row r="1867" spans="1:4" x14ac:dyDescent="0.25">
      <c r="A1867" s="2">
        <v>38504</v>
      </c>
      <c r="B1867" s="1" t="s">
        <v>12</v>
      </c>
      <c r="C1867" s="1">
        <v>1142.0999999999999</v>
      </c>
      <c r="D1867" s="1">
        <v>0</v>
      </c>
    </row>
    <row r="1868" spans="1:4" x14ac:dyDescent="0.25">
      <c r="A1868" s="2">
        <v>38534</v>
      </c>
      <c r="B1868" s="1" t="s">
        <v>12</v>
      </c>
      <c r="C1868" s="1">
        <v>1150.5999999999999</v>
      </c>
      <c r="D1868" s="1">
        <v>0</v>
      </c>
    </row>
    <row r="1869" spans="1:4" x14ac:dyDescent="0.25">
      <c r="A1869" s="2">
        <v>38565</v>
      </c>
      <c r="B1869" s="1" t="s">
        <v>12</v>
      </c>
      <c r="C1869" s="1">
        <v>1156.3</v>
      </c>
      <c r="D1869" s="1">
        <v>0</v>
      </c>
    </row>
    <row r="1870" spans="1:4" x14ac:dyDescent="0.25">
      <c r="A1870" s="2">
        <v>38596</v>
      </c>
      <c r="B1870" s="1" t="s">
        <v>12</v>
      </c>
      <c r="C1870" s="1">
        <v>1160.4000000000001</v>
      </c>
      <c r="D1870" s="1">
        <v>0</v>
      </c>
    </row>
    <row r="1871" spans="1:4" x14ac:dyDescent="0.25">
      <c r="A1871" s="2">
        <v>38626</v>
      </c>
      <c r="B1871" s="1" t="s">
        <v>12</v>
      </c>
      <c r="C1871" s="1">
        <v>1161.7</v>
      </c>
      <c r="D1871" s="1">
        <v>0</v>
      </c>
    </row>
    <row r="1872" spans="1:4" x14ac:dyDescent="0.25">
      <c r="A1872" s="2">
        <v>38657</v>
      </c>
      <c r="B1872" s="1" t="s">
        <v>12</v>
      </c>
      <c r="C1872" s="1">
        <v>1167.5</v>
      </c>
      <c r="D1872" s="1">
        <v>0</v>
      </c>
    </row>
    <row r="1873" spans="1:4" x14ac:dyDescent="0.25">
      <c r="A1873" s="2">
        <v>38687</v>
      </c>
      <c r="B1873" s="1" t="s">
        <v>12</v>
      </c>
      <c r="C1873" s="1">
        <v>1171.2</v>
      </c>
      <c r="D1873" s="1">
        <v>0</v>
      </c>
    </row>
    <row r="1874" spans="1:4" x14ac:dyDescent="0.25">
      <c r="A1874" s="2">
        <v>38718</v>
      </c>
      <c r="B1874" s="1" t="s">
        <v>12</v>
      </c>
      <c r="C1874" s="1">
        <v>1178.4000000000001</v>
      </c>
      <c r="D1874" s="1">
        <v>0</v>
      </c>
    </row>
    <row r="1875" spans="1:4" x14ac:dyDescent="0.25">
      <c r="A1875" s="2">
        <v>38749</v>
      </c>
      <c r="B1875" s="1" t="s">
        <v>12</v>
      </c>
      <c r="C1875" s="1">
        <v>1184.7</v>
      </c>
      <c r="D1875" s="1">
        <v>0</v>
      </c>
    </row>
    <row r="1876" spans="1:4" x14ac:dyDescent="0.25">
      <c r="A1876" s="2">
        <v>38777</v>
      </c>
      <c r="B1876" s="1" t="s">
        <v>12</v>
      </c>
      <c r="C1876" s="1">
        <v>1189.5</v>
      </c>
      <c r="D1876" s="1">
        <v>0</v>
      </c>
    </row>
    <row r="1877" spans="1:4" x14ac:dyDescent="0.25">
      <c r="A1877" s="2">
        <v>38808</v>
      </c>
      <c r="B1877" s="1" t="s">
        <v>12</v>
      </c>
      <c r="C1877" s="1">
        <v>1193.3</v>
      </c>
      <c r="D1877" s="1">
        <v>0</v>
      </c>
    </row>
    <row r="1878" spans="1:4" x14ac:dyDescent="0.25">
      <c r="A1878" s="2">
        <v>38838</v>
      </c>
      <c r="B1878" s="1" t="s">
        <v>12</v>
      </c>
      <c r="C1878" s="1">
        <v>1197.3</v>
      </c>
      <c r="D1878" s="1">
        <v>0</v>
      </c>
    </row>
    <row r="1879" spans="1:4" x14ac:dyDescent="0.25">
      <c r="A1879" s="2">
        <v>38869</v>
      </c>
      <c r="B1879" s="1" t="s">
        <v>12</v>
      </c>
      <c r="C1879" s="1">
        <v>1203.5999999999999</v>
      </c>
      <c r="D1879" s="1">
        <v>0</v>
      </c>
    </row>
    <row r="1880" spans="1:4" x14ac:dyDescent="0.25">
      <c r="A1880" s="2">
        <v>38899</v>
      </c>
      <c r="B1880" s="1" t="s">
        <v>12</v>
      </c>
      <c r="C1880" s="1">
        <v>1206.8</v>
      </c>
      <c r="D1880" s="1">
        <v>0</v>
      </c>
    </row>
    <row r="1881" spans="1:4" x14ac:dyDescent="0.25">
      <c r="A1881" s="2">
        <v>38930</v>
      </c>
      <c r="B1881" s="1" t="s">
        <v>12</v>
      </c>
      <c r="C1881" s="1">
        <v>1211.2</v>
      </c>
      <c r="D1881" s="1">
        <v>0</v>
      </c>
    </row>
    <row r="1882" spans="1:4" x14ac:dyDescent="0.25">
      <c r="A1882" s="2">
        <v>38961</v>
      </c>
      <c r="B1882" s="1" t="s">
        <v>12</v>
      </c>
      <c r="C1882" s="1">
        <v>1213.5</v>
      </c>
      <c r="D1882" s="1">
        <v>0</v>
      </c>
    </row>
    <row r="1883" spans="1:4" x14ac:dyDescent="0.25">
      <c r="A1883" s="2">
        <v>38991</v>
      </c>
      <c r="B1883" s="1" t="s">
        <v>12</v>
      </c>
      <c r="C1883" s="1">
        <v>1213.5999999999999</v>
      </c>
      <c r="D1883" s="1">
        <v>0</v>
      </c>
    </row>
    <row r="1884" spans="1:4" x14ac:dyDescent="0.25">
      <c r="A1884" s="2">
        <v>39022</v>
      </c>
      <c r="B1884" s="1" t="s">
        <v>12</v>
      </c>
      <c r="C1884" s="1">
        <v>1222.7</v>
      </c>
      <c r="D1884" s="1">
        <v>0</v>
      </c>
    </row>
    <row r="1885" spans="1:4" x14ac:dyDescent="0.25">
      <c r="A1885" s="2">
        <v>39052</v>
      </c>
      <c r="B1885" s="1" t="s">
        <v>12</v>
      </c>
      <c r="C1885" s="1">
        <v>1228</v>
      </c>
      <c r="D1885" s="1">
        <v>0</v>
      </c>
    </row>
    <row r="1886" spans="1:4" x14ac:dyDescent="0.25">
      <c r="A1886" s="2">
        <v>39083</v>
      </c>
      <c r="B1886" s="1" t="s">
        <v>12</v>
      </c>
      <c r="C1886" s="1">
        <v>1236.4000000000001</v>
      </c>
      <c r="D1886" s="1">
        <v>0</v>
      </c>
    </row>
    <row r="1887" spans="1:4" x14ac:dyDescent="0.25">
      <c r="A1887" s="2">
        <v>39114</v>
      </c>
      <c r="B1887" s="1" t="s">
        <v>12</v>
      </c>
      <c r="C1887" s="1">
        <v>1242.0999999999999</v>
      </c>
      <c r="D1887" s="1">
        <v>0</v>
      </c>
    </row>
    <row r="1888" spans="1:4" x14ac:dyDescent="0.25">
      <c r="A1888" s="2">
        <v>39142</v>
      </c>
      <c r="B1888" s="1" t="s">
        <v>12</v>
      </c>
      <c r="C1888" s="1">
        <v>1246.5</v>
      </c>
      <c r="D1888" s="1">
        <v>0</v>
      </c>
    </row>
    <row r="1889" spans="1:4" x14ac:dyDescent="0.25">
      <c r="A1889" s="2">
        <v>39173</v>
      </c>
      <c r="B1889" s="1" t="s">
        <v>12</v>
      </c>
      <c r="C1889" s="1">
        <v>1248.0999999999999</v>
      </c>
      <c r="D1889" s="1">
        <v>0</v>
      </c>
    </row>
    <row r="1890" spans="1:4" x14ac:dyDescent="0.25">
      <c r="A1890" s="2">
        <v>39203</v>
      </c>
      <c r="B1890" s="1" t="s">
        <v>12</v>
      </c>
      <c r="C1890" s="1">
        <v>1251.4000000000001</v>
      </c>
      <c r="D1890" s="1">
        <v>0</v>
      </c>
    </row>
    <row r="1891" spans="1:4" x14ac:dyDescent="0.25">
      <c r="A1891" s="2">
        <v>39234</v>
      </c>
      <c r="B1891" s="1" t="s">
        <v>12</v>
      </c>
      <c r="C1891" s="1">
        <v>1254.2</v>
      </c>
      <c r="D1891" s="1">
        <v>0</v>
      </c>
    </row>
    <row r="1892" spans="1:4" x14ac:dyDescent="0.25">
      <c r="A1892" s="2">
        <v>39264</v>
      </c>
      <c r="B1892" s="1" t="s">
        <v>12</v>
      </c>
      <c r="C1892" s="1">
        <v>1255.7</v>
      </c>
      <c r="D1892" s="1">
        <v>0</v>
      </c>
    </row>
    <row r="1893" spans="1:4" x14ac:dyDescent="0.25">
      <c r="A1893" s="2">
        <v>39295</v>
      </c>
      <c r="B1893" s="1" t="s">
        <v>12</v>
      </c>
      <c r="C1893" s="1">
        <v>1257.2</v>
      </c>
      <c r="D1893" s="1">
        <v>0</v>
      </c>
    </row>
    <row r="1894" spans="1:4" x14ac:dyDescent="0.25">
      <c r="A1894" s="2">
        <v>39326</v>
      </c>
      <c r="B1894" s="1" t="s">
        <v>12</v>
      </c>
      <c r="C1894" s="1">
        <v>1257.7</v>
      </c>
      <c r="D1894" s="1">
        <v>0</v>
      </c>
    </row>
    <row r="1895" spans="1:4" x14ac:dyDescent="0.25">
      <c r="A1895" s="2">
        <v>39356</v>
      </c>
      <c r="B1895" s="1" t="s">
        <v>12</v>
      </c>
      <c r="C1895" s="1">
        <v>1260.2</v>
      </c>
      <c r="D1895" s="1">
        <v>0</v>
      </c>
    </row>
    <row r="1896" spans="1:4" x14ac:dyDescent="0.25">
      <c r="A1896" s="2">
        <v>39387</v>
      </c>
      <c r="B1896" s="1" t="s">
        <v>12</v>
      </c>
      <c r="C1896" s="1">
        <v>1263.0999999999999</v>
      </c>
      <c r="D1896" s="1">
        <v>0</v>
      </c>
    </row>
    <row r="1897" spans="1:4" x14ac:dyDescent="0.25">
      <c r="A1897" s="2">
        <v>39417</v>
      </c>
      <c r="B1897" s="1" t="s">
        <v>12</v>
      </c>
      <c r="C1897" s="1">
        <v>1265.2</v>
      </c>
      <c r="D1897" s="1">
        <v>0</v>
      </c>
    </row>
    <row r="1898" spans="1:4" x14ac:dyDescent="0.25">
      <c r="A1898" s="2">
        <v>39448</v>
      </c>
      <c r="B1898" s="1" t="s">
        <v>12</v>
      </c>
      <c r="C1898" s="1">
        <v>1261.3</v>
      </c>
      <c r="D1898" s="1">
        <v>0</v>
      </c>
    </row>
    <row r="1899" spans="1:4" x14ac:dyDescent="0.25">
      <c r="A1899" s="2">
        <v>39479</v>
      </c>
      <c r="B1899" s="1" t="s">
        <v>12</v>
      </c>
      <c r="C1899" s="1">
        <v>1261.9000000000001</v>
      </c>
      <c r="D1899" s="1">
        <v>0</v>
      </c>
    </row>
    <row r="1900" spans="1:4" x14ac:dyDescent="0.25">
      <c r="A1900" s="2">
        <v>39508</v>
      </c>
      <c r="B1900" s="1" t="s">
        <v>12</v>
      </c>
      <c r="C1900" s="1">
        <v>1260.4000000000001</v>
      </c>
      <c r="D1900" s="1">
        <v>0</v>
      </c>
    </row>
    <row r="1901" spans="1:4" x14ac:dyDescent="0.25">
      <c r="A1901" s="2">
        <v>39539</v>
      </c>
      <c r="B1901" s="1" t="s">
        <v>12</v>
      </c>
      <c r="C1901" s="1">
        <v>1260.0999999999999</v>
      </c>
      <c r="D1901" s="1">
        <v>0</v>
      </c>
    </row>
    <row r="1902" spans="1:4" x14ac:dyDescent="0.25">
      <c r="A1902" s="2">
        <v>39569</v>
      </c>
      <c r="B1902" s="1" t="s">
        <v>12</v>
      </c>
      <c r="C1902" s="1">
        <v>1258.2</v>
      </c>
      <c r="D1902" s="1">
        <v>0</v>
      </c>
    </row>
    <row r="1903" spans="1:4" x14ac:dyDescent="0.25">
      <c r="A1903" s="2">
        <v>39600</v>
      </c>
      <c r="B1903" s="1" t="s">
        <v>12</v>
      </c>
      <c r="C1903" s="1">
        <v>1256.4000000000001</v>
      </c>
      <c r="D1903" s="1">
        <v>0</v>
      </c>
    </row>
    <row r="1904" spans="1:4" x14ac:dyDescent="0.25">
      <c r="A1904" s="2">
        <v>39630</v>
      </c>
      <c r="B1904" s="1" t="s">
        <v>12</v>
      </c>
      <c r="C1904" s="1">
        <v>1255.2</v>
      </c>
      <c r="D1904" s="1">
        <v>0</v>
      </c>
    </row>
    <row r="1905" spans="1:4" x14ac:dyDescent="0.25">
      <c r="A1905" s="2">
        <v>39661</v>
      </c>
      <c r="B1905" s="1" t="s">
        <v>12</v>
      </c>
      <c r="C1905" s="1">
        <v>1255.0999999999999</v>
      </c>
      <c r="D1905" s="1">
        <v>0</v>
      </c>
    </row>
    <row r="1906" spans="1:4" x14ac:dyDescent="0.25">
      <c r="A1906" s="2">
        <v>39692</v>
      </c>
      <c r="B1906" s="1" t="s">
        <v>12</v>
      </c>
      <c r="C1906" s="1">
        <v>1252.5999999999999</v>
      </c>
      <c r="D1906" s="1">
        <v>0</v>
      </c>
    </row>
    <row r="1907" spans="1:4" x14ac:dyDescent="0.25">
      <c r="A1907" s="2">
        <v>39722</v>
      </c>
      <c r="B1907" s="1" t="s">
        <v>12</v>
      </c>
      <c r="C1907" s="1">
        <v>1243.9000000000001</v>
      </c>
      <c r="D1907" s="1">
        <v>0</v>
      </c>
    </row>
    <row r="1908" spans="1:4" x14ac:dyDescent="0.25">
      <c r="A1908" s="2">
        <v>39753</v>
      </c>
      <c r="B1908" s="1" t="s">
        <v>12</v>
      </c>
      <c r="C1908" s="1">
        <v>1236.8</v>
      </c>
      <c r="D1908" s="1">
        <v>0</v>
      </c>
    </row>
    <row r="1909" spans="1:4" x14ac:dyDescent="0.25">
      <c r="A1909" s="2">
        <v>39783</v>
      </c>
      <c r="B1909" s="1" t="s">
        <v>12</v>
      </c>
      <c r="C1909" s="1">
        <v>1230.5999999999999</v>
      </c>
      <c r="D1909" s="1">
        <v>0</v>
      </c>
    </row>
    <row r="1910" spans="1:4" x14ac:dyDescent="0.25">
      <c r="A1910" s="2">
        <v>39814</v>
      </c>
      <c r="B1910" s="1" t="s">
        <v>12</v>
      </c>
      <c r="C1910" s="1">
        <v>1218.8</v>
      </c>
      <c r="D1910" s="1">
        <v>0</v>
      </c>
    </row>
    <row r="1911" spans="1:4" x14ac:dyDescent="0.25">
      <c r="A1911" s="2">
        <v>39845</v>
      </c>
      <c r="B1911" s="1" t="s">
        <v>12</v>
      </c>
      <c r="C1911" s="1">
        <v>1211</v>
      </c>
      <c r="D1911" s="1">
        <v>0</v>
      </c>
    </row>
    <row r="1912" spans="1:4" x14ac:dyDescent="0.25">
      <c r="A1912" s="2">
        <v>39873</v>
      </c>
      <c r="B1912" s="1" t="s">
        <v>12</v>
      </c>
      <c r="C1912" s="1">
        <v>1202.9000000000001</v>
      </c>
      <c r="D1912" s="1">
        <v>0</v>
      </c>
    </row>
    <row r="1913" spans="1:4" x14ac:dyDescent="0.25">
      <c r="A1913" s="2">
        <v>39904</v>
      </c>
      <c r="B1913" s="1" t="s">
        <v>12</v>
      </c>
      <c r="C1913" s="1">
        <v>1191.5999999999999</v>
      </c>
      <c r="D1913" s="1">
        <v>0</v>
      </c>
    </row>
    <row r="1914" spans="1:4" x14ac:dyDescent="0.25">
      <c r="A1914" s="2">
        <v>39934</v>
      </c>
      <c r="B1914" s="1" t="s">
        <v>12</v>
      </c>
      <c r="C1914" s="1">
        <v>1190</v>
      </c>
      <c r="D1914" s="1">
        <v>0</v>
      </c>
    </row>
    <row r="1915" spans="1:4" x14ac:dyDescent="0.25">
      <c r="A1915" s="2">
        <v>39965</v>
      </c>
      <c r="B1915" s="1" t="s">
        <v>12</v>
      </c>
      <c r="C1915" s="1">
        <v>1186.2</v>
      </c>
      <c r="D1915" s="1">
        <v>0</v>
      </c>
    </row>
    <row r="1916" spans="1:4" x14ac:dyDescent="0.25">
      <c r="A1916" s="2">
        <v>39995</v>
      </c>
      <c r="B1916" s="1" t="s">
        <v>12</v>
      </c>
      <c r="C1916" s="1">
        <v>1181</v>
      </c>
      <c r="D1916" s="1">
        <v>0</v>
      </c>
    </row>
    <row r="1917" spans="1:4" x14ac:dyDescent="0.25">
      <c r="A1917" s="2">
        <v>40026</v>
      </c>
      <c r="B1917" s="1" t="s">
        <v>12</v>
      </c>
      <c r="C1917" s="1">
        <v>1178.9000000000001</v>
      </c>
      <c r="D1917" s="1">
        <v>0</v>
      </c>
    </row>
    <row r="1918" spans="1:4" x14ac:dyDescent="0.25">
      <c r="A1918" s="2">
        <v>40057</v>
      </c>
      <c r="B1918" s="1" t="s">
        <v>12</v>
      </c>
      <c r="C1918" s="1">
        <v>1178.3</v>
      </c>
      <c r="D1918" s="1">
        <v>0</v>
      </c>
    </row>
    <row r="1919" spans="1:4" x14ac:dyDescent="0.25">
      <c r="A1919" s="2">
        <v>40087</v>
      </c>
      <c r="B1919" s="1" t="s">
        <v>12</v>
      </c>
      <c r="C1919" s="1">
        <v>1177.3</v>
      </c>
      <c r="D1919" s="1">
        <v>0</v>
      </c>
    </row>
    <row r="1920" spans="1:4" x14ac:dyDescent="0.25">
      <c r="A1920" s="2">
        <v>40118</v>
      </c>
      <c r="B1920" s="1" t="s">
        <v>12</v>
      </c>
      <c r="C1920" s="1">
        <v>1175.8</v>
      </c>
      <c r="D1920" s="1">
        <v>0</v>
      </c>
    </row>
    <row r="1921" spans="1:4" x14ac:dyDescent="0.25">
      <c r="A1921" s="2">
        <v>40148</v>
      </c>
      <c r="B1921" s="1" t="s">
        <v>12</v>
      </c>
      <c r="C1921" s="1">
        <v>1174.2</v>
      </c>
      <c r="D1921" s="1">
        <v>0</v>
      </c>
    </row>
    <row r="1922" spans="1:4" x14ac:dyDescent="0.25">
      <c r="A1922" s="2">
        <v>40179</v>
      </c>
      <c r="B1922" s="1" t="s">
        <v>12</v>
      </c>
      <c r="C1922" s="1">
        <v>1174.4000000000001</v>
      </c>
      <c r="D1922" s="1">
        <v>0</v>
      </c>
    </row>
    <row r="1923" spans="1:4" x14ac:dyDescent="0.25">
      <c r="A1923" s="2">
        <v>40210</v>
      </c>
      <c r="B1923" s="1" t="s">
        <v>12</v>
      </c>
      <c r="C1923" s="1">
        <v>1172.9000000000001</v>
      </c>
      <c r="D1923" s="1">
        <v>0</v>
      </c>
    </row>
    <row r="1924" spans="1:4" x14ac:dyDescent="0.25">
      <c r="A1924" s="2">
        <v>40238</v>
      </c>
      <c r="B1924" s="1" t="s">
        <v>12</v>
      </c>
      <c r="C1924" s="1">
        <v>1175.3</v>
      </c>
      <c r="D1924" s="1">
        <v>0</v>
      </c>
    </row>
    <row r="1925" spans="1:4" x14ac:dyDescent="0.25">
      <c r="A1925" s="2">
        <v>40269</v>
      </c>
      <c r="B1925" s="1" t="s">
        <v>12</v>
      </c>
      <c r="C1925" s="1">
        <v>1179.2</v>
      </c>
      <c r="D1925" s="1">
        <v>0</v>
      </c>
    </row>
    <row r="1926" spans="1:4" x14ac:dyDescent="0.25">
      <c r="A1926" s="2">
        <v>40299</v>
      </c>
      <c r="B1926" s="1" t="s">
        <v>12</v>
      </c>
      <c r="C1926" s="1">
        <v>1183.5999999999999</v>
      </c>
      <c r="D1926" s="1">
        <v>0</v>
      </c>
    </row>
    <row r="1927" spans="1:4" x14ac:dyDescent="0.25">
      <c r="A1927" s="2">
        <v>40330</v>
      </c>
      <c r="B1927" s="1" t="s">
        <v>12</v>
      </c>
      <c r="C1927" s="1">
        <v>1183.2</v>
      </c>
      <c r="D1927" s="1">
        <v>0</v>
      </c>
    </row>
    <row r="1928" spans="1:4" x14ac:dyDescent="0.25">
      <c r="A1928" s="2">
        <v>40360</v>
      </c>
      <c r="B1928" s="1" t="s">
        <v>12</v>
      </c>
      <c r="C1928" s="1">
        <v>1184.5999999999999</v>
      </c>
      <c r="D1928" s="1">
        <v>0</v>
      </c>
    </row>
    <row r="1929" spans="1:4" x14ac:dyDescent="0.25">
      <c r="A1929" s="2">
        <v>40391</v>
      </c>
      <c r="B1929" s="1" t="s">
        <v>12</v>
      </c>
      <c r="C1929" s="1">
        <v>1183.9000000000001</v>
      </c>
      <c r="D1929" s="1">
        <v>0</v>
      </c>
    </row>
    <row r="1930" spans="1:4" x14ac:dyDescent="0.25">
      <c r="A1930" s="2">
        <v>40422</v>
      </c>
      <c r="B1930" s="1" t="s">
        <v>12</v>
      </c>
      <c r="C1930" s="1">
        <v>1184.7</v>
      </c>
      <c r="D1930" s="1">
        <v>0</v>
      </c>
    </row>
    <row r="1931" spans="1:4" x14ac:dyDescent="0.25">
      <c r="A1931" s="2">
        <v>40452</v>
      </c>
      <c r="B1931" s="1" t="s">
        <v>12</v>
      </c>
      <c r="C1931" s="1">
        <v>1188.5</v>
      </c>
      <c r="D1931" s="1">
        <v>0</v>
      </c>
    </row>
    <row r="1932" spans="1:4" x14ac:dyDescent="0.25">
      <c r="A1932" s="2">
        <v>40483</v>
      </c>
      <c r="B1932" s="1" t="s">
        <v>12</v>
      </c>
      <c r="C1932" s="1">
        <v>1189.4000000000001</v>
      </c>
      <c r="D1932" s="1">
        <v>0</v>
      </c>
    </row>
    <row r="1933" spans="1:4" x14ac:dyDescent="0.25">
      <c r="A1933" s="2">
        <v>40513</v>
      </c>
      <c r="B1933" s="1" t="s">
        <v>12</v>
      </c>
      <c r="C1933" s="1">
        <v>1191.8</v>
      </c>
      <c r="D1933" s="1">
        <v>0</v>
      </c>
    </row>
    <row r="1934" spans="1:4" x14ac:dyDescent="0.25">
      <c r="A1934" s="2">
        <v>40544</v>
      </c>
      <c r="B1934" s="1" t="s">
        <v>12</v>
      </c>
      <c r="C1934" s="1">
        <v>1193</v>
      </c>
      <c r="D1934" s="1">
        <v>0</v>
      </c>
    </row>
    <row r="1935" spans="1:4" x14ac:dyDescent="0.25">
      <c r="A1935" s="2">
        <v>40575</v>
      </c>
      <c r="B1935" s="1" t="s">
        <v>12</v>
      </c>
      <c r="C1935" s="1">
        <v>1195.4000000000001</v>
      </c>
      <c r="D1935" s="1">
        <v>0</v>
      </c>
    </row>
    <row r="1936" spans="1:4" x14ac:dyDescent="0.25">
      <c r="A1936" s="2">
        <v>40603</v>
      </c>
      <c r="B1936" s="1" t="s">
        <v>12</v>
      </c>
      <c r="C1936" s="1">
        <v>1197.2</v>
      </c>
      <c r="D1936" s="1">
        <v>0</v>
      </c>
    </row>
    <row r="1937" spans="1:4" x14ac:dyDescent="0.25">
      <c r="A1937" s="2">
        <v>40634</v>
      </c>
      <c r="B1937" s="1" t="s">
        <v>12</v>
      </c>
      <c r="C1937" s="1">
        <v>1201.0999999999999</v>
      </c>
      <c r="D1937" s="1">
        <v>0</v>
      </c>
    </row>
    <row r="1938" spans="1:4" x14ac:dyDescent="0.25">
      <c r="A1938" s="2">
        <v>40664</v>
      </c>
      <c r="B1938" s="1" t="s">
        <v>12</v>
      </c>
      <c r="C1938" s="1">
        <v>1202</v>
      </c>
      <c r="D1938" s="1">
        <v>0</v>
      </c>
    </row>
    <row r="1939" spans="1:4" x14ac:dyDescent="0.25">
      <c r="A1939" s="2">
        <v>40695</v>
      </c>
      <c r="B1939" s="1" t="s">
        <v>12</v>
      </c>
      <c r="C1939" s="1">
        <v>1204.0999999999999</v>
      </c>
      <c r="D1939" s="1">
        <v>0</v>
      </c>
    </row>
    <row r="1940" spans="1:4" x14ac:dyDescent="0.25">
      <c r="A1940" s="2">
        <v>40725</v>
      </c>
      <c r="B1940" s="1" t="s">
        <v>12</v>
      </c>
      <c r="C1940" s="1">
        <v>1210.3</v>
      </c>
      <c r="D1940" s="1">
        <v>0</v>
      </c>
    </row>
    <row r="1941" spans="1:4" x14ac:dyDescent="0.25">
      <c r="A1941" s="2">
        <v>40756</v>
      </c>
      <c r="B1941" s="1" t="s">
        <v>12</v>
      </c>
      <c r="C1941" s="1">
        <v>1212.7</v>
      </c>
      <c r="D1941" s="1">
        <v>0</v>
      </c>
    </row>
    <row r="1942" spans="1:4" x14ac:dyDescent="0.25">
      <c r="A1942" s="2">
        <v>40787</v>
      </c>
      <c r="B1942" s="1" t="s">
        <v>12</v>
      </c>
      <c r="C1942" s="1">
        <v>1215.9000000000001</v>
      </c>
      <c r="D1942" s="1">
        <v>0</v>
      </c>
    </row>
    <row r="1943" spans="1:4" x14ac:dyDescent="0.25">
      <c r="A1943" s="2">
        <v>40817</v>
      </c>
      <c r="B1943" s="1" t="s">
        <v>12</v>
      </c>
      <c r="C1943" s="1">
        <v>1217.7</v>
      </c>
      <c r="D1943" s="1">
        <v>0</v>
      </c>
    </row>
    <row r="1944" spans="1:4" x14ac:dyDescent="0.25">
      <c r="A1944" s="2">
        <v>40848</v>
      </c>
      <c r="B1944" s="1" t="s">
        <v>12</v>
      </c>
      <c r="C1944" s="1">
        <v>1219.5</v>
      </c>
      <c r="D1944" s="1">
        <v>0</v>
      </c>
    </row>
    <row r="1945" spans="1:4" x14ac:dyDescent="0.25">
      <c r="A1945" s="2">
        <v>40878</v>
      </c>
      <c r="B1945" s="1" t="s">
        <v>12</v>
      </c>
      <c r="C1945" s="1">
        <v>1224.3</v>
      </c>
      <c r="D1945" s="1">
        <v>0</v>
      </c>
    </row>
    <row r="1946" spans="1:4" x14ac:dyDescent="0.25">
      <c r="A1946" s="2">
        <v>40909</v>
      </c>
      <c r="B1946" s="1" t="s">
        <v>12</v>
      </c>
      <c r="C1946" s="1">
        <v>1228.7</v>
      </c>
      <c r="D1946" s="1">
        <v>0</v>
      </c>
    </row>
    <row r="1947" spans="1:4" x14ac:dyDescent="0.25">
      <c r="A1947" s="2">
        <v>40940</v>
      </c>
      <c r="B1947" s="1" t="s">
        <v>12</v>
      </c>
      <c r="C1947" s="1">
        <v>1231.5</v>
      </c>
      <c r="D1947" s="1">
        <v>0</v>
      </c>
    </row>
    <row r="1948" spans="1:4" x14ac:dyDescent="0.25">
      <c r="A1948" s="2">
        <v>40969</v>
      </c>
      <c r="B1948" s="1" t="s">
        <v>12</v>
      </c>
      <c r="C1948" s="1">
        <v>1236</v>
      </c>
      <c r="D1948" s="1">
        <v>0</v>
      </c>
    </row>
    <row r="1949" spans="1:4" x14ac:dyDescent="0.25">
      <c r="A1949" s="2">
        <v>41000</v>
      </c>
      <c r="B1949" s="1" t="s">
        <v>12</v>
      </c>
      <c r="C1949" s="1">
        <v>1244.5</v>
      </c>
      <c r="D1949" s="1">
        <v>0</v>
      </c>
    </row>
    <row r="1950" spans="1:4" x14ac:dyDescent="0.25">
      <c r="A1950" s="2">
        <v>41030</v>
      </c>
      <c r="B1950" s="1" t="s">
        <v>12</v>
      </c>
      <c r="C1950" s="1">
        <v>1249.8</v>
      </c>
      <c r="D1950" s="1">
        <v>0</v>
      </c>
    </row>
    <row r="1951" spans="1:4" x14ac:dyDescent="0.25">
      <c r="A1951" s="2">
        <v>41061</v>
      </c>
      <c r="B1951" s="1" t="s">
        <v>12</v>
      </c>
      <c r="C1951" s="1">
        <v>1251.5999999999999</v>
      </c>
      <c r="D1951" s="1">
        <v>0</v>
      </c>
    </row>
    <row r="1952" spans="1:4" x14ac:dyDescent="0.25">
      <c r="A1952" s="2">
        <v>41091</v>
      </c>
      <c r="B1952" s="1" t="s">
        <v>12</v>
      </c>
      <c r="C1952" s="1">
        <v>1250.2</v>
      </c>
      <c r="D1952" s="1">
        <v>0</v>
      </c>
    </row>
    <row r="1953" spans="1:4" x14ac:dyDescent="0.25">
      <c r="A1953" s="2">
        <v>41122</v>
      </c>
      <c r="B1953" s="1" t="s">
        <v>12</v>
      </c>
      <c r="C1953" s="1">
        <v>1253</v>
      </c>
      <c r="D1953" s="1">
        <v>0</v>
      </c>
    </row>
    <row r="1954" spans="1:4" x14ac:dyDescent="0.25">
      <c r="A1954" s="2">
        <v>41153</v>
      </c>
      <c r="B1954" s="1" t="s">
        <v>12</v>
      </c>
      <c r="C1954" s="1">
        <v>1257.0999999999999</v>
      </c>
      <c r="D1954" s="1">
        <v>0</v>
      </c>
    </row>
    <row r="1955" spans="1:4" x14ac:dyDescent="0.25">
      <c r="A1955" s="2">
        <v>41183</v>
      </c>
      <c r="B1955" s="1" t="s">
        <v>12</v>
      </c>
      <c r="C1955" s="1">
        <v>1263.0999999999999</v>
      </c>
      <c r="D1955" s="1">
        <v>0</v>
      </c>
    </row>
    <row r="1956" spans="1:4" x14ac:dyDescent="0.25">
      <c r="A1956" s="2">
        <v>41214</v>
      </c>
      <c r="B1956" s="1" t="s">
        <v>12</v>
      </c>
      <c r="C1956" s="1">
        <v>1266.5999999999999</v>
      </c>
      <c r="D1956" s="1">
        <v>0</v>
      </c>
    </row>
    <row r="1957" spans="1:4" x14ac:dyDescent="0.25">
      <c r="A1957" s="2">
        <v>41244</v>
      </c>
      <c r="B1957" s="1" t="s">
        <v>12</v>
      </c>
      <c r="C1957" s="1">
        <v>1268.3</v>
      </c>
      <c r="D1957" s="1">
        <v>0</v>
      </c>
    </row>
    <row r="1958" spans="1:4" x14ac:dyDescent="0.25">
      <c r="A1958" s="2">
        <v>41275</v>
      </c>
      <c r="B1958" s="1" t="s">
        <v>12</v>
      </c>
      <c r="C1958" s="1">
        <v>1274.8</v>
      </c>
      <c r="D1958" s="1">
        <v>0</v>
      </c>
    </row>
    <row r="1959" spans="1:4" x14ac:dyDescent="0.25">
      <c r="A1959" s="2">
        <v>41306</v>
      </c>
      <c r="B1959" s="1" t="s">
        <v>12</v>
      </c>
      <c r="C1959" s="1">
        <v>1278.4000000000001</v>
      </c>
      <c r="D1959" s="1">
        <v>0</v>
      </c>
    </row>
    <row r="1960" spans="1:4" x14ac:dyDescent="0.25">
      <c r="A1960" s="2">
        <v>41334</v>
      </c>
      <c r="B1960" s="1" t="s">
        <v>12</v>
      </c>
      <c r="C1960" s="1">
        <v>1281.8</v>
      </c>
      <c r="D1960" s="1">
        <v>0</v>
      </c>
    </row>
    <row r="1961" spans="1:4" x14ac:dyDescent="0.25">
      <c r="A1961" s="2">
        <v>41365</v>
      </c>
      <c r="B1961" s="1" t="s">
        <v>12</v>
      </c>
      <c r="C1961" s="1">
        <v>1284.2</v>
      </c>
      <c r="D1961" s="1">
        <v>0</v>
      </c>
    </row>
    <row r="1962" spans="1:4" x14ac:dyDescent="0.25">
      <c r="A1962" s="2">
        <v>41395</v>
      </c>
      <c r="B1962" s="1" t="s">
        <v>12</v>
      </c>
      <c r="C1962" s="1">
        <v>1286.9000000000001</v>
      </c>
      <c r="D1962" s="1">
        <v>0</v>
      </c>
    </row>
    <row r="1963" spans="1:4" x14ac:dyDescent="0.25">
      <c r="A1963" s="2">
        <v>41426</v>
      </c>
      <c r="B1963" s="1" t="s">
        <v>12</v>
      </c>
      <c r="C1963" s="1">
        <v>1287.0999999999999</v>
      </c>
      <c r="D1963" s="1">
        <v>0</v>
      </c>
    </row>
    <row r="1964" spans="1:4" x14ac:dyDescent="0.25">
      <c r="A1964" s="2">
        <v>41456</v>
      </c>
      <c r="B1964" s="1" t="s">
        <v>12</v>
      </c>
      <c r="C1964" s="1">
        <v>1292.0999999999999</v>
      </c>
      <c r="D1964" s="1">
        <v>0</v>
      </c>
    </row>
    <row r="1965" spans="1:4" x14ac:dyDescent="0.25">
      <c r="A1965" s="2">
        <v>41487</v>
      </c>
      <c r="B1965" s="1" t="s">
        <v>12</v>
      </c>
      <c r="C1965" s="1">
        <v>1291.7</v>
      </c>
      <c r="D1965" s="1">
        <v>0</v>
      </c>
    </row>
    <row r="1966" spans="1:4" x14ac:dyDescent="0.25">
      <c r="A1966" s="2">
        <v>41518</v>
      </c>
      <c r="B1966" s="1" t="s">
        <v>12</v>
      </c>
      <c r="C1966" s="1">
        <v>1294.2</v>
      </c>
      <c r="D1966" s="1">
        <v>0</v>
      </c>
    </row>
    <row r="1967" spans="1:4" x14ac:dyDescent="0.25">
      <c r="A1967" s="2">
        <v>41548</v>
      </c>
      <c r="B1967" s="1" t="s">
        <v>12</v>
      </c>
      <c r="C1967" s="1">
        <v>1300.7</v>
      </c>
      <c r="D1967" s="1">
        <v>0</v>
      </c>
    </row>
    <row r="1968" spans="1:4" x14ac:dyDescent="0.25">
      <c r="A1968" s="2">
        <v>41579</v>
      </c>
      <c r="B1968" s="1" t="s">
        <v>12</v>
      </c>
      <c r="C1968" s="1">
        <v>1303.4000000000001</v>
      </c>
      <c r="D1968" s="1">
        <v>0</v>
      </c>
    </row>
    <row r="1969" spans="1:4" x14ac:dyDescent="0.25">
      <c r="A1969" s="2">
        <v>41609</v>
      </c>
      <c r="B1969" s="1" t="s">
        <v>12</v>
      </c>
      <c r="C1969" s="1">
        <v>1303.5999999999999</v>
      </c>
      <c r="D1969" s="1">
        <v>0</v>
      </c>
    </row>
    <row r="1970" spans="1:4" x14ac:dyDescent="0.25">
      <c r="A1970" s="2">
        <v>41640</v>
      </c>
      <c r="B1970" s="1" t="s">
        <v>12</v>
      </c>
      <c r="C1970" s="1">
        <v>1305.5</v>
      </c>
      <c r="D1970" s="1">
        <v>0</v>
      </c>
    </row>
    <row r="1971" spans="1:4" x14ac:dyDescent="0.25">
      <c r="A1971" s="2">
        <v>41671</v>
      </c>
      <c r="B1971" s="1" t="s">
        <v>12</v>
      </c>
      <c r="C1971" s="1">
        <v>1309.9000000000001</v>
      </c>
      <c r="D1971" s="1">
        <v>0</v>
      </c>
    </row>
    <row r="1972" spans="1:4" x14ac:dyDescent="0.25">
      <c r="A1972" s="2">
        <v>41699</v>
      </c>
      <c r="B1972" s="1" t="s">
        <v>12</v>
      </c>
      <c r="C1972" s="1">
        <v>1317</v>
      </c>
      <c r="D1972" s="1">
        <v>0</v>
      </c>
    </row>
    <row r="1973" spans="1:4" x14ac:dyDescent="0.25">
      <c r="A1973" s="2">
        <v>41730</v>
      </c>
      <c r="B1973" s="1" t="s">
        <v>12</v>
      </c>
      <c r="C1973" s="1">
        <v>1319.4</v>
      </c>
      <c r="D1973" s="1">
        <v>0</v>
      </c>
    </row>
    <row r="1974" spans="1:4" x14ac:dyDescent="0.25">
      <c r="A1974" s="2">
        <v>41760</v>
      </c>
      <c r="B1974" s="1" t="s">
        <v>12</v>
      </c>
      <c r="C1974" s="1">
        <v>1326.1</v>
      </c>
      <c r="D1974" s="1">
        <v>0</v>
      </c>
    </row>
    <row r="1975" spans="1:4" x14ac:dyDescent="0.25">
      <c r="A1975" s="2">
        <v>41791</v>
      </c>
      <c r="B1975" s="1" t="s">
        <v>12</v>
      </c>
      <c r="C1975" s="1">
        <v>1332.2</v>
      </c>
      <c r="D1975" s="1">
        <v>0</v>
      </c>
    </row>
    <row r="1976" spans="1:4" x14ac:dyDescent="0.25">
      <c r="A1976" s="2">
        <v>41821</v>
      </c>
      <c r="B1976" s="1" t="s">
        <v>12</v>
      </c>
      <c r="C1976" s="1">
        <v>1337.9</v>
      </c>
      <c r="D1976" s="1">
        <v>0</v>
      </c>
    </row>
    <row r="1977" spans="1:4" x14ac:dyDescent="0.25">
      <c r="A1977" s="2">
        <v>41852</v>
      </c>
      <c r="B1977" s="1" t="s">
        <v>12</v>
      </c>
      <c r="C1977" s="1">
        <v>1337.3</v>
      </c>
      <c r="D1977" s="1">
        <v>0</v>
      </c>
    </row>
    <row r="1978" spans="1:4" x14ac:dyDescent="0.25">
      <c r="A1978" s="2">
        <v>41883</v>
      </c>
      <c r="B1978" s="1" t="s">
        <v>12</v>
      </c>
      <c r="C1978" s="1">
        <v>1339.5</v>
      </c>
      <c r="D1978" s="1">
        <v>0</v>
      </c>
    </row>
    <row r="1979" spans="1:4" x14ac:dyDescent="0.25">
      <c r="A1979" s="2">
        <v>41913</v>
      </c>
      <c r="B1979" s="1" t="s">
        <v>12</v>
      </c>
      <c r="C1979" s="1">
        <v>1349.3</v>
      </c>
      <c r="D1979" s="1">
        <v>0</v>
      </c>
    </row>
    <row r="1980" spans="1:4" x14ac:dyDescent="0.25">
      <c r="A1980" s="2">
        <v>41944</v>
      </c>
      <c r="B1980" s="1" t="s">
        <v>12</v>
      </c>
      <c r="C1980" s="1">
        <v>1348.6</v>
      </c>
      <c r="D1980" s="1">
        <v>0</v>
      </c>
    </row>
    <row r="1981" spans="1:4" x14ac:dyDescent="0.25">
      <c r="A1981" s="2">
        <v>41974</v>
      </c>
      <c r="B1981" s="1" t="s">
        <v>12</v>
      </c>
      <c r="C1981" s="1">
        <v>1353.9</v>
      </c>
      <c r="D1981" s="1">
        <v>0</v>
      </c>
    </row>
    <row r="1982" spans="1:4" x14ac:dyDescent="0.25">
      <c r="A1982" s="2">
        <v>36526</v>
      </c>
      <c r="B1982" s="1" t="s">
        <v>13</v>
      </c>
      <c r="C1982" s="1">
        <v>550.29999999999995</v>
      </c>
      <c r="D1982" s="1">
        <v>0</v>
      </c>
    </row>
    <row r="1983" spans="1:4" x14ac:dyDescent="0.25">
      <c r="A1983" s="2">
        <v>36557</v>
      </c>
      <c r="B1983" s="1" t="s">
        <v>13</v>
      </c>
      <c r="C1983" s="1">
        <v>551.70000000000005</v>
      </c>
      <c r="D1983" s="1">
        <v>0</v>
      </c>
    </row>
    <row r="1984" spans="1:4" x14ac:dyDescent="0.25">
      <c r="A1984" s="2">
        <v>36586</v>
      </c>
      <c r="B1984" s="1" t="s">
        <v>13</v>
      </c>
      <c r="C1984" s="1">
        <v>553</v>
      </c>
      <c r="D1984" s="1">
        <v>0</v>
      </c>
    </row>
    <row r="1985" spans="1:4" x14ac:dyDescent="0.25">
      <c r="A1985" s="2">
        <v>36617</v>
      </c>
      <c r="B1985" s="1" t="s">
        <v>13</v>
      </c>
      <c r="C1985" s="1">
        <v>557.79999999999995</v>
      </c>
      <c r="D1985" s="1">
        <v>0</v>
      </c>
    </row>
    <row r="1986" spans="1:4" x14ac:dyDescent="0.25">
      <c r="A1986" s="2">
        <v>36647</v>
      </c>
      <c r="B1986" s="1" t="s">
        <v>13</v>
      </c>
      <c r="C1986" s="1">
        <v>560.9</v>
      </c>
      <c r="D1986" s="1">
        <v>0</v>
      </c>
    </row>
    <row r="1987" spans="1:4" x14ac:dyDescent="0.25">
      <c r="A1987" s="2">
        <v>36678</v>
      </c>
      <c r="B1987" s="1" t="s">
        <v>13</v>
      </c>
      <c r="C1987" s="1">
        <v>559.6</v>
      </c>
      <c r="D1987" s="1">
        <v>0</v>
      </c>
    </row>
    <row r="1988" spans="1:4" x14ac:dyDescent="0.25">
      <c r="A1988" s="2">
        <v>36708</v>
      </c>
      <c r="B1988" s="1" t="s">
        <v>13</v>
      </c>
      <c r="C1988" s="1">
        <v>560.79999999999995</v>
      </c>
      <c r="D1988" s="1">
        <v>0</v>
      </c>
    </row>
    <row r="1989" spans="1:4" x14ac:dyDescent="0.25">
      <c r="A1989" s="2">
        <v>36739</v>
      </c>
      <c r="B1989" s="1" t="s">
        <v>13</v>
      </c>
      <c r="C1989" s="1">
        <v>563.1</v>
      </c>
      <c r="D1989" s="1">
        <v>0</v>
      </c>
    </row>
    <row r="1990" spans="1:4" x14ac:dyDescent="0.25">
      <c r="A1990" s="2">
        <v>36770</v>
      </c>
      <c r="B1990" s="1" t="s">
        <v>13</v>
      </c>
      <c r="C1990" s="1">
        <v>563.9</v>
      </c>
      <c r="D1990" s="1">
        <v>0</v>
      </c>
    </row>
    <row r="1991" spans="1:4" x14ac:dyDescent="0.25">
      <c r="A1991" s="2">
        <v>36800</v>
      </c>
      <c r="B1991" s="1" t="s">
        <v>13</v>
      </c>
      <c r="C1991" s="1">
        <v>563</v>
      </c>
      <c r="D1991" s="1">
        <v>0</v>
      </c>
    </row>
    <row r="1992" spans="1:4" x14ac:dyDescent="0.25">
      <c r="A1992" s="2">
        <v>36831</v>
      </c>
      <c r="B1992" s="1" t="s">
        <v>13</v>
      </c>
      <c r="C1992" s="1">
        <v>565.9</v>
      </c>
      <c r="D1992" s="1">
        <v>0</v>
      </c>
    </row>
    <row r="1993" spans="1:4" x14ac:dyDescent="0.25">
      <c r="A1993" s="2">
        <v>36861</v>
      </c>
      <c r="B1993" s="1" t="s">
        <v>13</v>
      </c>
      <c r="C1993" s="1">
        <v>565.79999999999995</v>
      </c>
      <c r="D1993" s="1">
        <v>0</v>
      </c>
    </row>
    <row r="1994" spans="1:4" x14ac:dyDescent="0.25">
      <c r="A1994" s="2">
        <v>36892</v>
      </c>
      <c r="B1994" s="1" t="s">
        <v>13</v>
      </c>
      <c r="C1994" s="1">
        <v>567.29999999999995</v>
      </c>
      <c r="D1994" s="1">
        <v>0</v>
      </c>
    </row>
    <row r="1995" spans="1:4" x14ac:dyDescent="0.25">
      <c r="A1995" s="2">
        <v>36923</v>
      </c>
      <c r="B1995" s="1" t="s">
        <v>13</v>
      </c>
      <c r="C1995" s="1">
        <v>569.20000000000005</v>
      </c>
      <c r="D1995" s="1">
        <v>0</v>
      </c>
    </row>
    <row r="1996" spans="1:4" x14ac:dyDescent="0.25">
      <c r="A1996" s="2">
        <v>36951</v>
      </c>
      <c r="B1996" s="1" t="s">
        <v>13</v>
      </c>
      <c r="C1996" s="1">
        <v>570.4</v>
      </c>
      <c r="D1996" s="1">
        <v>0</v>
      </c>
    </row>
    <row r="1997" spans="1:4" x14ac:dyDescent="0.25">
      <c r="A1997" s="2">
        <v>36982</v>
      </c>
      <c r="B1997" s="1" t="s">
        <v>13</v>
      </c>
      <c r="C1997" s="1">
        <v>570</v>
      </c>
      <c r="D1997" s="1">
        <v>0</v>
      </c>
    </row>
    <row r="1998" spans="1:4" x14ac:dyDescent="0.25">
      <c r="A1998" s="2">
        <v>37012</v>
      </c>
      <c r="B1998" s="1" t="s">
        <v>13</v>
      </c>
      <c r="C1998" s="1">
        <v>569.6</v>
      </c>
      <c r="D1998" s="1">
        <v>0</v>
      </c>
    </row>
    <row r="1999" spans="1:4" x14ac:dyDescent="0.25">
      <c r="A1999" s="2">
        <v>37043</v>
      </c>
      <c r="B1999" s="1" t="s">
        <v>13</v>
      </c>
      <c r="C1999" s="1">
        <v>568.9</v>
      </c>
      <c r="D1999" s="1">
        <v>0</v>
      </c>
    </row>
    <row r="2000" spans="1:4" x14ac:dyDescent="0.25">
      <c r="A2000" s="2">
        <v>37073</v>
      </c>
      <c r="B2000" s="1" t="s">
        <v>13</v>
      </c>
      <c r="C2000" s="1">
        <v>568.1</v>
      </c>
      <c r="D2000" s="1">
        <v>0</v>
      </c>
    </row>
    <row r="2001" spans="1:4" x14ac:dyDescent="0.25">
      <c r="A2001" s="2">
        <v>37104</v>
      </c>
      <c r="B2001" s="1" t="s">
        <v>13</v>
      </c>
      <c r="C2001" s="1">
        <v>569.1</v>
      </c>
      <c r="D2001" s="1">
        <v>0</v>
      </c>
    </row>
    <row r="2002" spans="1:4" x14ac:dyDescent="0.25">
      <c r="A2002" s="2">
        <v>37135</v>
      </c>
      <c r="B2002" s="1" t="s">
        <v>13</v>
      </c>
      <c r="C2002" s="1">
        <v>567.5</v>
      </c>
      <c r="D2002" s="1">
        <v>0</v>
      </c>
    </row>
    <row r="2003" spans="1:4" x14ac:dyDescent="0.25">
      <c r="A2003" s="2">
        <v>37165</v>
      </c>
      <c r="B2003" s="1" t="s">
        <v>13</v>
      </c>
      <c r="C2003" s="1">
        <v>565.4</v>
      </c>
      <c r="D2003" s="1">
        <v>0</v>
      </c>
    </row>
    <row r="2004" spans="1:4" x14ac:dyDescent="0.25">
      <c r="A2004" s="2">
        <v>37196</v>
      </c>
      <c r="B2004" s="1" t="s">
        <v>13</v>
      </c>
      <c r="C2004" s="1">
        <v>564.1</v>
      </c>
      <c r="D2004" s="1">
        <v>0</v>
      </c>
    </row>
    <row r="2005" spans="1:4" x14ac:dyDescent="0.25">
      <c r="A2005" s="2">
        <v>37226</v>
      </c>
      <c r="B2005" s="1" t="s">
        <v>13</v>
      </c>
      <c r="C2005" s="1">
        <v>563.29999999999995</v>
      </c>
      <c r="D2005" s="1">
        <v>0</v>
      </c>
    </row>
    <row r="2006" spans="1:4" x14ac:dyDescent="0.25">
      <c r="A2006" s="2">
        <v>37257</v>
      </c>
      <c r="B2006" s="1" t="s">
        <v>13</v>
      </c>
      <c r="C2006" s="1">
        <v>564.29999999999995</v>
      </c>
      <c r="D2006" s="1">
        <v>0</v>
      </c>
    </row>
    <row r="2007" spans="1:4" x14ac:dyDescent="0.25">
      <c r="A2007" s="2">
        <v>37288</v>
      </c>
      <c r="B2007" s="1" t="s">
        <v>13</v>
      </c>
      <c r="C2007" s="1">
        <v>563.70000000000005</v>
      </c>
      <c r="D2007" s="1">
        <v>0</v>
      </c>
    </row>
    <row r="2008" spans="1:4" x14ac:dyDescent="0.25">
      <c r="A2008" s="2">
        <v>37316</v>
      </c>
      <c r="B2008" s="1" t="s">
        <v>13</v>
      </c>
      <c r="C2008" s="1">
        <v>563</v>
      </c>
      <c r="D2008" s="1">
        <v>0</v>
      </c>
    </row>
    <row r="2009" spans="1:4" x14ac:dyDescent="0.25">
      <c r="A2009" s="2">
        <v>37347</v>
      </c>
      <c r="B2009" s="1" t="s">
        <v>13</v>
      </c>
      <c r="C2009" s="1">
        <v>566.5</v>
      </c>
      <c r="D2009" s="1">
        <v>0</v>
      </c>
    </row>
    <row r="2010" spans="1:4" x14ac:dyDescent="0.25">
      <c r="A2010" s="2">
        <v>37377</v>
      </c>
      <c r="B2010" s="1" t="s">
        <v>13</v>
      </c>
      <c r="C2010" s="1">
        <v>567.70000000000005</v>
      </c>
      <c r="D2010" s="1">
        <v>0</v>
      </c>
    </row>
    <row r="2011" spans="1:4" x14ac:dyDescent="0.25">
      <c r="A2011" s="2">
        <v>37408</v>
      </c>
      <c r="B2011" s="1" t="s">
        <v>13</v>
      </c>
      <c r="C2011" s="1">
        <v>568.79999999999995</v>
      </c>
      <c r="D2011" s="1">
        <v>0</v>
      </c>
    </row>
    <row r="2012" spans="1:4" x14ac:dyDescent="0.25">
      <c r="A2012" s="2">
        <v>37438</v>
      </c>
      <c r="B2012" s="1" t="s">
        <v>13</v>
      </c>
      <c r="C2012" s="1">
        <v>569.9</v>
      </c>
      <c r="D2012" s="1">
        <v>0</v>
      </c>
    </row>
    <row r="2013" spans="1:4" x14ac:dyDescent="0.25">
      <c r="A2013" s="2">
        <v>37469</v>
      </c>
      <c r="B2013" s="1" t="s">
        <v>13</v>
      </c>
      <c r="C2013" s="1">
        <v>568.9</v>
      </c>
      <c r="D2013" s="1">
        <v>0</v>
      </c>
    </row>
    <row r="2014" spans="1:4" x14ac:dyDescent="0.25">
      <c r="A2014" s="2">
        <v>37500</v>
      </c>
      <c r="B2014" s="1" t="s">
        <v>13</v>
      </c>
      <c r="C2014" s="1">
        <v>569.29999999999995</v>
      </c>
      <c r="D2014" s="1">
        <v>0</v>
      </c>
    </row>
    <row r="2015" spans="1:4" x14ac:dyDescent="0.25">
      <c r="A2015" s="2">
        <v>37530</v>
      </c>
      <c r="B2015" s="1" t="s">
        <v>13</v>
      </c>
      <c r="C2015" s="1">
        <v>572.20000000000005</v>
      </c>
      <c r="D2015" s="1">
        <v>0</v>
      </c>
    </row>
    <row r="2016" spans="1:4" x14ac:dyDescent="0.25">
      <c r="A2016" s="2">
        <v>37561</v>
      </c>
      <c r="B2016" s="1" t="s">
        <v>13</v>
      </c>
      <c r="C2016" s="1">
        <v>572.79999999999995</v>
      </c>
      <c r="D2016" s="1">
        <v>0</v>
      </c>
    </row>
    <row r="2017" spans="1:4" x14ac:dyDescent="0.25">
      <c r="A2017" s="2">
        <v>37591</v>
      </c>
      <c r="B2017" s="1" t="s">
        <v>13</v>
      </c>
      <c r="C2017" s="1">
        <v>573</v>
      </c>
      <c r="D2017" s="1">
        <v>0</v>
      </c>
    </row>
    <row r="2018" spans="1:4" x14ac:dyDescent="0.25">
      <c r="A2018" s="2">
        <v>37622</v>
      </c>
      <c r="B2018" s="1" t="s">
        <v>13</v>
      </c>
      <c r="C2018" s="1">
        <v>574.1</v>
      </c>
      <c r="D2018" s="1">
        <v>0</v>
      </c>
    </row>
    <row r="2019" spans="1:4" x14ac:dyDescent="0.25">
      <c r="A2019" s="2">
        <v>37653</v>
      </c>
      <c r="B2019" s="1" t="s">
        <v>13</v>
      </c>
      <c r="C2019" s="1">
        <v>571.70000000000005</v>
      </c>
      <c r="D2019" s="1">
        <v>0</v>
      </c>
    </row>
    <row r="2020" spans="1:4" x14ac:dyDescent="0.25">
      <c r="A2020" s="2">
        <v>37681</v>
      </c>
      <c r="B2020" s="1" t="s">
        <v>13</v>
      </c>
      <c r="C2020" s="1">
        <v>570.70000000000005</v>
      </c>
      <c r="D2020" s="1">
        <v>0</v>
      </c>
    </row>
    <row r="2021" spans="1:4" x14ac:dyDescent="0.25">
      <c r="A2021" s="2">
        <v>37712</v>
      </c>
      <c r="B2021" s="1" t="s">
        <v>13</v>
      </c>
      <c r="C2021" s="1">
        <v>568.9</v>
      </c>
      <c r="D2021" s="1">
        <v>0</v>
      </c>
    </row>
    <row r="2022" spans="1:4" x14ac:dyDescent="0.25">
      <c r="A2022" s="2">
        <v>37742</v>
      </c>
      <c r="B2022" s="1" t="s">
        <v>13</v>
      </c>
      <c r="C2022" s="1">
        <v>569.5</v>
      </c>
      <c r="D2022" s="1">
        <v>0</v>
      </c>
    </row>
    <row r="2023" spans="1:4" x14ac:dyDescent="0.25">
      <c r="A2023" s="2">
        <v>37773</v>
      </c>
      <c r="B2023" s="1" t="s">
        <v>13</v>
      </c>
      <c r="C2023" s="1">
        <v>570.5</v>
      </c>
      <c r="D2023" s="1">
        <v>0</v>
      </c>
    </row>
    <row r="2024" spans="1:4" x14ac:dyDescent="0.25">
      <c r="A2024" s="2">
        <v>37803</v>
      </c>
      <c r="B2024" s="1" t="s">
        <v>13</v>
      </c>
      <c r="C2024" s="1">
        <v>570.29999999999995</v>
      </c>
      <c r="D2024" s="1">
        <v>0</v>
      </c>
    </row>
    <row r="2025" spans="1:4" x14ac:dyDescent="0.25">
      <c r="A2025" s="2">
        <v>37834</v>
      </c>
      <c r="B2025" s="1" t="s">
        <v>13</v>
      </c>
      <c r="C2025" s="1">
        <v>571</v>
      </c>
      <c r="D2025" s="1">
        <v>0</v>
      </c>
    </row>
    <row r="2026" spans="1:4" x14ac:dyDescent="0.25">
      <c r="A2026" s="2">
        <v>37865</v>
      </c>
      <c r="B2026" s="1" t="s">
        <v>13</v>
      </c>
      <c r="C2026" s="1">
        <v>572.70000000000005</v>
      </c>
      <c r="D2026" s="1">
        <v>0</v>
      </c>
    </row>
    <row r="2027" spans="1:4" x14ac:dyDescent="0.25">
      <c r="A2027" s="2">
        <v>37895</v>
      </c>
      <c r="B2027" s="1" t="s">
        <v>13</v>
      </c>
      <c r="C2027" s="1">
        <v>574.20000000000005</v>
      </c>
      <c r="D2027" s="1">
        <v>0</v>
      </c>
    </row>
    <row r="2028" spans="1:4" x14ac:dyDescent="0.25">
      <c r="A2028" s="2">
        <v>37926</v>
      </c>
      <c r="B2028" s="1" t="s">
        <v>13</v>
      </c>
      <c r="C2028" s="1">
        <v>574.9</v>
      </c>
      <c r="D2028" s="1">
        <v>0</v>
      </c>
    </row>
    <row r="2029" spans="1:4" x14ac:dyDescent="0.25">
      <c r="A2029" s="2">
        <v>37956</v>
      </c>
      <c r="B2029" s="1" t="s">
        <v>13</v>
      </c>
      <c r="C2029" s="1">
        <v>576.4</v>
      </c>
      <c r="D2029" s="1">
        <v>0</v>
      </c>
    </row>
    <row r="2030" spans="1:4" x14ac:dyDescent="0.25">
      <c r="A2030" s="2">
        <v>37987</v>
      </c>
      <c r="B2030" s="1" t="s">
        <v>13</v>
      </c>
      <c r="C2030" s="1">
        <v>577</v>
      </c>
      <c r="D2030" s="1">
        <v>0</v>
      </c>
    </row>
    <row r="2031" spans="1:4" x14ac:dyDescent="0.25">
      <c r="A2031" s="2">
        <v>38018</v>
      </c>
      <c r="B2031" s="1" t="s">
        <v>13</v>
      </c>
      <c r="C2031" s="1">
        <v>578.9</v>
      </c>
      <c r="D2031" s="1">
        <v>0</v>
      </c>
    </row>
    <row r="2032" spans="1:4" x14ac:dyDescent="0.25">
      <c r="A2032" s="2">
        <v>38047</v>
      </c>
      <c r="B2032" s="1" t="s">
        <v>13</v>
      </c>
      <c r="C2032" s="1">
        <v>581.4</v>
      </c>
      <c r="D2032" s="1">
        <v>0</v>
      </c>
    </row>
    <row r="2033" spans="1:4" x14ac:dyDescent="0.25">
      <c r="A2033" s="2">
        <v>38078</v>
      </c>
      <c r="B2033" s="1" t="s">
        <v>13</v>
      </c>
      <c r="C2033" s="1">
        <v>584.29999999999995</v>
      </c>
      <c r="D2033" s="1">
        <v>0</v>
      </c>
    </row>
    <row r="2034" spans="1:4" x14ac:dyDescent="0.25">
      <c r="A2034" s="2">
        <v>38108</v>
      </c>
      <c r="B2034" s="1" t="s">
        <v>13</v>
      </c>
      <c r="C2034" s="1">
        <v>586.20000000000005</v>
      </c>
      <c r="D2034" s="1">
        <v>0</v>
      </c>
    </row>
    <row r="2035" spans="1:4" x14ac:dyDescent="0.25">
      <c r="A2035" s="2">
        <v>38139</v>
      </c>
      <c r="B2035" s="1" t="s">
        <v>13</v>
      </c>
      <c r="C2035" s="1">
        <v>587.79999999999995</v>
      </c>
      <c r="D2035" s="1">
        <v>0</v>
      </c>
    </row>
    <row r="2036" spans="1:4" x14ac:dyDescent="0.25">
      <c r="A2036" s="2">
        <v>38169</v>
      </c>
      <c r="B2036" s="1" t="s">
        <v>13</v>
      </c>
      <c r="C2036" s="1">
        <v>588.6</v>
      </c>
      <c r="D2036" s="1">
        <v>0</v>
      </c>
    </row>
    <row r="2037" spans="1:4" x14ac:dyDescent="0.25">
      <c r="A2037" s="2">
        <v>38200</v>
      </c>
      <c r="B2037" s="1" t="s">
        <v>13</v>
      </c>
      <c r="C2037" s="1">
        <v>590.5</v>
      </c>
      <c r="D2037" s="1">
        <v>0</v>
      </c>
    </row>
    <row r="2038" spans="1:4" x14ac:dyDescent="0.25">
      <c r="A2038" s="2">
        <v>38231</v>
      </c>
      <c r="B2038" s="1" t="s">
        <v>13</v>
      </c>
      <c r="C2038" s="1">
        <v>590.70000000000005</v>
      </c>
      <c r="D2038" s="1">
        <v>0</v>
      </c>
    </row>
    <row r="2039" spans="1:4" x14ac:dyDescent="0.25">
      <c r="A2039" s="2">
        <v>38261</v>
      </c>
      <c r="B2039" s="1" t="s">
        <v>13</v>
      </c>
      <c r="C2039" s="1">
        <v>593.79999999999995</v>
      </c>
      <c r="D2039" s="1">
        <v>0</v>
      </c>
    </row>
    <row r="2040" spans="1:4" x14ac:dyDescent="0.25">
      <c r="A2040" s="2">
        <v>38292</v>
      </c>
      <c r="B2040" s="1" t="s">
        <v>13</v>
      </c>
      <c r="C2040" s="1">
        <v>596.6</v>
      </c>
      <c r="D2040" s="1">
        <v>0</v>
      </c>
    </row>
    <row r="2041" spans="1:4" x14ac:dyDescent="0.25">
      <c r="A2041" s="2">
        <v>38322</v>
      </c>
      <c r="B2041" s="1" t="s">
        <v>13</v>
      </c>
      <c r="C2041" s="1">
        <v>597.79999999999995</v>
      </c>
      <c r="D2041" s="1">
        <v>0</v>
      </c>
    </row>
    <row r="2042" spans="1:4" x14ac:dyDescent="0.25">
      <c r="A2042" s="2">
        <v>38353</v>
      </c>
      <c r="B2042" s="1" t="s">
        <v>13</v>
      </c>
      <c r="C2042" s="1">
        <v>601.4</v>
      </c>
      <c r="D2042" s="1">
        <v>0</v>
      </c>
    </row>
    <row r="2043" spans="1:4" x14ac:dyDescent="0.25">
      <c r="A2043" s="2">
        <v>38384</v>
      </c>
      <c r="B2043" s="1" t="s">
        <v>13</v>
      </c>
      <c r="C2043" s="1">
        <v>603.29999999999995</v>
      </c>
      <c r="D2043" s="1">
        <v>0</v>
      </c>
    </row>
    <row r="2044" spans="1:4" x14ac:dyDescent="0.25">
      <c r="A2044" s="2">
        <v>38412</v>
      </c>
      <c r="B2044" s="1" t="s">
        <v>13</v>
      </c>
      <c r="C2044" s="1">
        <v>604.29999999999995</v>
      </c>
      <c r="D2044" s="1">
        <v>0</v>
      </c>
    </row>
    <row r="2045" spans="1:4" x14ac:dyDescent="0.25">
      <c r="A2045" s="2">
        <v>38443</v>
      </c>
      <c r="B2045" s="1" t="s">
        <v>13</v>
      </c>
      <c r="C2045" s="1">
        <v>605.70000000000005</v>
      </c>
      <c r="D2045" s="1">
        <v>0</v>
      </c>
    </row>
    <row r="2046" spans="1:4" x14ac:dyDescent="0.25">
      <c r="A2046" s="2">
        <v>38473</v>
      </c>
      <c r="B2046" s="1" t="s">
        <v>13</v>
      </c>
      <c r="C2046" s="1">
        <v>606.20000000000005</v>
      </c>
      <c r="D2046" s="1">
        <v>0</v>
      </c>
    </row>
    <row r="2047" spans="1:4" x14ac:dyDescent="0.25">
      <c r="A2047" s="2">
        <v>38504</v>
      </c>
      <c r="B2047" s="1" t="s">
        <v>13</v>
      </c>
      <c r="C2047" s="1">
        <v>606.79999999999995</v>
      </c>
      <c r="D2047" s="1">
        <v>0</v>
      </c>
    </row>
    <row r="2048" spans="1:4" x14ac:dyDescent="0.25">
      <c r="A2048" s="2">
        <v>38534</v>
      </c>
      <c r="B2048" s="1" t="s">
        <v>13</v>
      </c>
      <c r="C2048" s="1">
        <v>612.20000000000005</v>
      </c>
      <c r="D2048" s="1">
        <v>0</v>
      </c>
    </row>
    <row r="2049" spans="1:4" x14ac:dyDescent="0.25">
      <c r="A2049" s="2">
        <v>38565</v>
      </c>
      <c r="B2049" s="1" t="s">
        <v>13</v>
      </c>
      <c r="C2049" s="1">
        <v>614.1</v>
      </c>
      <c r="D2049" s="1">
        <v>0</v>
      </c>
    </row>
    <row r="2050" spans="1:4" x14ac:dyDescent="0.25">
      <c r="A2050" s="2">
        <v>38596</v>
      </c>
      <c r="B2050" s="1" t="s">
        <v>13</v>
      </c>
      <c r="C2050" s="1">
        <v>617.79999999999995</v>
      </c>
      <c r="D2050" s="1">
        <v>0</v>
      </c>
    </row>
    <row r="2051" spans="1:4" x14ac:dyDescent="0.25">
      <c r="A2051" s="2">
        <v>38626</v>
      </c>
      <c r="B2051" s="1" t="s">
        <v>13</v>
      </c>
      <c r="C2051" s="1">
        <v>617.70000000000005</v>
      </c>
      <c r="D2051" s="1">
        <v>0</v>
      </c>
    </row>
    <row r="2052" spans="1:4" x14ac:dyDescent="0.25">
      <c r="A2052" s="2">
        <v>38657</v>
      </c>
      <c r="B2052" s="1" t="s">
        <v>13</v>
      </c>
      <c r="C2052" s="1">
        <v>621.5</v>
      </c>
      <c r="D2052" s="1">
        <v>0</v>
      </c>
    </row>
    <row r="2053" spans="1:4" x14ac:dyDescent="0.25">
      <c r="A2053" s="2">
        <v>38687</v>
      </c>
      <c r="B2053" s="1" t="s">
        <v>13</v>
      </c>
      <c r="C2053" s="1">
        <v>624.1</v>
      </c>
      <c r="D2053" s="1">
        <v>0</v>
      </c>
    </row>
    <row r="2054" spans="1:4" x14ac:dyDescent="0.25">
      <c r="A2054" s="2">
        <v>38718</v>
      </c>
      <c r="B2054" s="1" t="s">
        <v>13</v>
      </c>
      <c r="C2054" s="1">
        <v>628.29999999999995</v>
      </c>
      <c r="D2054" s="1">
        <v>0</v>
      </c>
    </row>
    <row r="2055" spans="1:4" x14ac:dyDescent="0.25">
      <c r="A2055" s="2">
        <v>38749</v>
      </c>
      <c r="B2055" s="1" t="s">
        <v>13</v>
      </c>
      <c r="C2055" s="1">
        <v>630.4</v>
      </c>
      <c r="D2055" s="1">
        <v>0</v>
      </c>
    </row>
    <row r="2056" spans="1:4" x14ac:dyDescent="0.25">
      <c r="A2056" s="2">
        <v>38777</v>
      </c>
      <c r="B2056" s="1" t="s">
        <v>13</v>
      </c>
      <c r="C2056" s="1">
        <v>632.9</v>
      </c>
      <c r="D2056" s="1">
        <v>0</v>
      </c>
    </row>
    <row r="2057" spans="1:4" x14ac:dyDescent="0.25">
      <c r="A2057" s="2">
        <v>38808</v>
      </c>
      <c r="B2057" s="1" t="s">
        <v>13</v>
      </c>
      <c r="C2057" s="1">
        <v>635.6</v>
      </c>
      <c r="D2057" s="1">
        <v>0</v>
      </c>
    </row>
    <row r="2058" spans="1:4" x14ac:dyDescent="0.25">
      <c r="A2058" s="2">
        <v>38838</v>
      </c>
      <c r="B2058" s="1" t="s">
        <v>13</v>
      </c>
      <c r="C2058" s="1">
        <v>636.70000000000005</v>
      </c>
      <c r="D2058" s="1">
        <v>0</v>
      </c>
    </row>
    <row r="2059" spans="1:4" x14ac:dyDescent="0.25">
      <c r="A2059" s="2">
        <v>38869</v>
      </c>
      <c r="B2059" s="1" t="s">
        <v>13</v>
      </c>
      <c r="C2059" s="1">
        <v>638.4</v>
      </c>
      <c r="D2059" s="1">
        <v>0</v>
      </c>
    </row>
    <row r="2060" spans="1:4" x14ac:dyDescent="0.25">
      <c r="A2060" s="2">
        <v>38899</v>
      </c>
      <c r="B2060" s="1" t="s">
        <v>13</v>
      </c>
      <c r="C2060" s="1">
        <v>640.5</v>
      </c>
      <c r="D2060" s="1">
        <v>0</v>
      </c>
    </row>
    <row r="2061" spans="1:4" x14ac:dyDescent="0.25">
      <c r="A2061" s="2">
        <v>38930</v>
      </c>
      <c r="B2061" s="1" t="s">
        <v>13</v>
      </c>
      <c r="C2061" s="1">
        <v>642.1</v>
      </c>
      <c r="D2061" s="1">
        <v>0</v>
      </c>
    </row>
    <row r="2062" spans="1:4" x14ac:dyDescent="0.25">
      <c r="A2062" s="2">
        <v>38961</v>
      </c>
      <c r="B2062" s="1" t="s">
        <v>13</v>
      </c>
      <c r="C2062" s="1">
        <v>643.29999999999995</v>
      </c>
      <c r="D2062" s="1">
        <v>0</v>
      </c>
    </row>
    <row r="2063" spans="1:4" x14ac:dyDescent="0.25">
      <c r="A2063" s="2">
        <v>38991</v>
      </c>
      <c r="B2063" s="1" t="s">
        <v>13</v>
      </c>
      <c r="C2063" s="1">
        <v>642.4</v>
      </c>
      <c r="D2063" s="1">
        <v>0</v>
      </c>
    </row>
    <row r="2064" spans="1:4" x14ac:dyDescent="0.25">
      <c r="A2064" s="2">
        <v>39022</v>
      </c>
      <c r="B2064" s="1" t="s">
        <v>13</v>
      </c>
      <c r="C2064" s="1">
        <v>644.9</v>
      </c>
      <c r="D2064" s="1">
        <v>0</v>
      </c>
    </row>
    <row r="2065" spans="1:4" x14ac:dyDescent="0.25">
      <c r="A2065" s="2">
        <v>39052</v>
      </c>
      <c r="B2065" s="1" t="s">
        <v>13</v>
      </c>
      <c r="C2065" s="1">
        <v>646.20000000000005</v>
      </c>
      <c r="D2065" s="1">
        <v>0</v>
      </c>
    </row>
    <row r="2066" spans="1:4" x14ac:dyDescent="0.25">
      <c r="A2066" s="2">
        <v>39083</v>
      </c>
      <c r="B2066" s="1" t="s">
        <v>13</v>
      </c>
      <c r="C2066" s="1">
        <v>649</v>
      </c>
      <c r="D2066" s="1">
        <v>0</v>
      </c>
    </row>
    <row r="2067" spans="1:4" x14ac:dyDescent="0.25">
      <c r="A2067" s="2">
        <v>39114</v>
      </c>
      <c r="B2067" s="1" t="s">
        <v>13</v>
      </c>
      <c r="C2067" s="1">
        <v>651.20000000000005</v>
      </c>
      <c r="D2067" s="1">
        <v>0</v>
      </c>
    </row>
    <row r="2068" spans="1:4" x14ac:dyDescent="0.25">
      <c r="A2068" s="2">
        <v>39142</v>
      </c>
      <c r="B2068" s="1" t="s">
        <v>13</v>
      </c>
      <c r="C2068" s="1">
        <v>653.5</v>
      </c>
      <c r="D2068" s="1">
        <v>0</v>
      </c>
    </row>
    <row r="2069" spans="1:4" x14ac:dyDescent="0.25">
      <c r="A2069" s="2">
        <v>39173</v>
      </c>
      <c r="B2069" s="1" t="s">
        <v>13</v>
      </c>
      <c r="C2069" s="1">
        <v>654.20000000000005</v>
      </c>
      <c r="D2069" s="1">
        <v>0</v>
      </c>
    </row>
    <row r="2070" spans="1:4" x14ac:dyDescent="0.25">
      <c r="A2070" s="2">
        <v>39203</v>
      </c>
      <c r="B2070" s="1" t="s">
        <v>13</v>
      </c>
      <c r="C2070" s="1">
        <v>655.8</v>
      </c>
      <c r="D2070" s="1">
        <v>0</v>
      </c>
    </row>
    <row r="2071" spans="1:4" x14ac:dyDescent="0.25">
      <c r="A2071" s="2">
        <v>39234</v>
      </c>
      <c r="B2071" s="1" t="s">
        <v>13</v>
      </c>
      <c r="C2071" s="1">
        <v>657.5</v>
      </c>
      <c r="D2071" s="1">
        <v>0</v>
      </c>
    </row>
    <row r="2072" spans="1:4" x14ac:dyDescent="0.25">
      <c r="A2072" s="2">
        <v>39264</v>
      </c>
      <c r="B2072" s="1" t="s">
        <v>13</v>
      </c>
      <c r="C2072" s="1">
        <v>656</v>
      </c>
      <c r="D2072" s="1">
        <v>0</v>
      </c>
    </row>
    <row r="2073" spans="1:4" x14ac:dyDescent="0.25">
      <c r="A2073" s="2">
        <v>39295</v>
      </c>
      <c r="B2073" s="1" t="s">
        <v>13</v>
      </c>
      <c r="C2073" s="1">
        <v>656.8</v>
      </c>
      <c r="D2073" s="1">
        <v>0</v>
      </c>
    </row>
    <row r="2074" spans="1:4" x14ac:dyDescent="0.25">
      <c r="A2074" s="2">
        <v>39326</v>
      </c>
      <c r="B2074" s="1" t="s">
        <v>13</v>
      </c>
      <c r="C2074" s="1">
        <v>655.6</v>
      </c>
      <c r="D2074" s="1">
        <v>0</v>
      </c>
    </row>
    <row r="2075" spans="1:4" x14ac:dyDescent="0.25">
      <c r="A2075" s="2">
        <v>39356</v>
      </c>
      <c r="B2075" s="1" t="s">
        <v>13</v>
      </c>
      <c r="C2075" s="1">
        <v>654.4</v>
      </c>
      <c r="D2075" s="1">
        <v>0</v>
      </c>
    </row>
    <row r="2076" spans="1:4" x14ac:dyDescent="0.25">
      <c r="A2076" s="2">
        <v>39387</v>
      </c>
      <c r="B2076" s="1" t="s">
        <v>13</v>
      </c>
      <c r="C2076" s="1">
        <v>656.9</v>
      </c>
      <c r="D2076" s="1">
        <v>0</v>
      </c>
    </row>
    <row r="2077" spans="1:4" x14ac:dyDescent="0.25">
      <c r="A2077" s="2">
        <v>39417</v>
      </c>
      <c r="B2077" s="1" t="s">
        <v>13</v>
      </c>
      <c r="C2077" s="1">
        <v>656.5</v>
      </c>
      <c r="D2077" s="1">
        <v>0</v>
      </c>
    </row>
    <row r="2078" spans="1:4" x14ac:dyDescent="0.25">
      <c r="A2078" s="2">
        <v>39448</v>
      </c>
      <c r="B2078" s="1" t="s">
        <v>13</v>
      </c>
      <c r="C2078" s="1">
        <v>654.4</v>
      </c>
      <c r="D2078" s="1">
        <v>0</v>
      </c>
    </row>
    <row r="2079" spans="1:4" x14ac:dyDescent="0.25">
      <c r="A2079" s="2">
        <v>39479</v>
      </c>
      <c r="B2079" s="1" t="s">
        <v>13</v>
      </c>
      <c r="C2079" s="1">
        <v>655.29999999999995</v>
      </c>
      <c r="D2079" s="1">
        <v>0</v>
      </c>
    </row>
    <row r="2080" spans="1:4" x14ac:dyDescent="0.25">
      <c r="A2080" s="2">
        <v>39508</v>
      </c>
      <c r="B2080" s="1" t="s">
        <v>13</v>
      </c>
      <c r="C2080" s="1">
        <v>655.5</v>
      </c>
      <c r="D2080" s="1">
        <v>0</v>
      </c>
    </row>
    <row r="2081" spans="1:4" x14ac:dyDescent="0.25">
      <c r="A2081" s="2">
        <v>39539</v>
      </c>
      <c r="B2081" s="1" t="s">
        <v>13</v>
      </c>
      <c r="C2081" s="1">
        <v>654.6</v>
      </c>
      <c r="D2081" s="1">
        <v>0</v>
      </c>
    </row>
    <row r="2082" spans="1:4" x14ac:dyDescent="0.25">
      <c r="A2082" s="2">
        <v>39569</v>
      </c>
      <c r="B2082" s="1" t="s">
        <v>13</v>
      </c>
      <c r="C2082" s="1">
        <v>654.79999999999995</v>
      </c>
      <c r="D2082" s="1">
        <v>0</v>
      </c>
    </row>
    <row r="2083" spans="1:4" x14ac:dyDescent="0.25">
      <c r="A2083" s="2">
        <v>39600</v>
      </c>
      <c r="B2083" s="1" t="s">
        <v>13</v>
      </c>
      <c r="C2083" s="1">
        <v>653.20000000000005</v>
      </c>
      <c r="D2083" s="1">
        <v>0</v>
      </c>
    </row>
    <row r="2084" spans="1:4" x14ac:dyDescent="0.25">
      <c r="A2084" s="2">
        <v>39630</v>
      </c>
      <c r="B2084" s="1" t="s">
        <v>13</v>
      </c>
      <c r="C2084" s="1">
        <v>653.4</v>
      </c>
      <c r="D2084" s="1">
        <v>0</v>
      </c>
    </row>
    <row r="2085" spans="1:4" x14ac:dyDescent="0.25">
      <c r="A2085" s="2">
        <v>39661</v>
      </c>
      <c r="B2085" s="1" t="s">
        <v>13</v>
      </c>
      <c r="C2085" s="1">
        <v>650.70000000000005</v>
      </c>
      <c r="D2085" s="1">
        <v>0</v>
      </c>
    </row>
    <row r="2086" spans="1:4" x14ac:dyDescent="0.25">
      <c r="A2086" s="2">
        <v>39692</v>
      </c>
      <c r="B2086" s="1" t="s">
        <v>13</v>
      </c>
      <c r="C2086" s="1">
        <v>647.5</v>
      </c>
      <c r="D2086" s="1">
        <v>0</v>
      </c>
    </row>
    <row r="2087" spans="1:4" x14ac:dyDescent="0.25">
      <c r="A2087" s="2">
        <v>39722</v>
      </c>
      <c r="B2087" s="1" t="s">
        <v>13</v>
      </c>
      <c r="C2087" s="1">
        <v>640</v>
      </c>
      <c r="D2087" s="1">
        <v>0</v>
      </c>
    </row>
    <row r="2088" spans="1:4" x14ac:dyDescent="0.25">
      <c r="A2088" s="2">
        <v>39753</v>
      </c>
      <c r="B2088" s="1" t="s">
        <v>13</v>
      </c>
      <c r="C2088" s="1">
        <v>635</v>
      </c>
      <c r="D2088" s="1">
        <v>0</v>
      </c>
    </row>
    <row r="2089" spans="1:4" x14ac:dyDescent="0.25">
      <c r="A2089" s="2">
        <v>39783</v>
      </c>
      <c r="B2089" s="1" t="s">
        <v>13</v>
      </c>
      <c r="C2089" s="1">
        <v>631.6</v>
      </c>
      <c r="D2089" s="1">
        <v>0</v>
      </c>
    </row>
    <row r="2090" spans="1:4" x14ac:dyDescent="0.25">
      <c r="A2090" s="2">
        <v>39814</v>
      </c>
      <c r="B2090" s="1" t="s">
        <v>13</v>
      </c>
      <c r="C2090" s="1">
        <v>625.6</v>
      </c>
      <c r="D2090" s="1">
        <v>0</v>
      </c>
    </row>
    <row r="2091" spans="1:4" x14ac:dyDescent="0.25">
      <c r="A2091" s="2">
        <v>39845</v>
      </c>
      <c r="B2091" s="1" t="s">
        <v>13</v>
      </c>
      <c r="C2091" s="1">
        <v>619.70000000000005</v>
      </c>
      <c r="D2091" s="1">
        <v>0</v>
      </c>
    </row>
    <row r="2092" spans="1:4" x14ac:dyDescent="0.25">
      <c r="A2092" s="2">
        <v>39873</v>
      </c>
      <c r="B2092" s="1" t="s">
        <v>13</v>
      </c>
      <c r="C2092" s="1">
        <v>615</v>
      </c>
      <c r="D2092" s="1">
        <v>0</v>
      </c>
    </row>
    <row r="2093" spans="1:4" x14ac:dyDescent="0.25">
      <c r="A2093" s="2">
        <v>39904</v>
      </c>
      <c r="B2093" s="1" t="s">
        <v>13</v>
      </c>
      <c r="C2093" s="1">
        <v>610.6</v>
      </c>
      <c r="D2093" s="1">
        <v>0</v>
      </c>
    </row>
    <row r="2094" spans="1:4" x14ac:dyDescent="0.25">
      <c r="A2094" s="2">
        <v>39934</v>
      </c>
      <c r="B2094" s="1" t="s">
        <v>13</v>
      </c>
      <c r="C2094" s="1">
        <v>608.9</v>
      </c>
      <c r="D2094" s="1">
        <v>0</v>
      </c>
    </row>
    <row r="2095" spans="1:4" x14ac:dyDescent="0.25">
      <c r="A2095" s="2">
        <v>39965</v>
      </c>
      <c r="B2095" s="1" t="s">
        <v>13</v>
      </c>
      <c r="C2095" s="1">
        <v>609.4</v>
      </c>
      <c r="D2095" s="1">
        <v>0</v>
      </c>
    </row>
    <row r="2096" spans="1:4" x14ac:dyDescent="0.25">
      <c r="A2096" s="2">
        <v>39995</v>
      </c>
      <c r="B2096" s="1" t="s">
        <v>13</v>
      </c>
      <c r="C2096" s="1">
        <v>605.70000000000005</v>
      </c>
      <c r="D2096" s="1">
        <v>0</v>
      </c>
    </row>
    <row r="2097" spans="1:4" x14ac:dyDescent="0.25">
      <c r="A2097" s="2">
        <v>40026</v>
      </c>
      <c r="B2097" s="1" t="s">
        <v>13</v>
      </c>
      <c r="C2097" s="1">
        <v>605</v>
      </c>
      <c r="D2097" s="1">
        <v>0</v>
      </c>
    </row>
    <row r="2098" spans="1:4" x14ac:dyDescent="0.25">
      <c r="A2098" s="2">
        <v>40057</v>
      </c>
      <c r="B2098" s="1" t="s">
        <v>13</v>
      </c>
      <c r="C2098" s="1">
        <v>603.4</v>
      </c>
      <c r="D2098" s="1">
        <v>0</v>
      </c>
    </row>
    <row r="2099" spans="1:4" x14ac:dyDescent="0.25">
      <c r="A2099" s="2">
        <v>40087</v>
      </c>
      <c r="B2099" s="1" t="s">
        <v>13</v>
      </c>
      <c r="C2099" s="1">
        <v>605</v>
      </c>
      <c r="D2099" s="1">
        <v>0</v>
      </c>
    </row>
    <row r="2100" spans="1:4" x14ac:dyDescent="0.25">
      <c r="A2100" s="2">
        <v>40118</v>
      </c>
      <c r="B2100" s="1" t="s">
        <v>13</v>
      </c>
      <c r="C2100" s="1">
        <v>604.5</v>
      </c>
      <c r="D2100" s="1">
        <v>0</v>
      </c>
    </row>
    <row r="2101" spans="1:4" x14ac:dyDescent="0.25">
      <c r="A2101" s="2">
        <v>40148</v>
      </c>
      <c r="B2101" s="1" t="s">
        <v>13</v>
      </c>
      <c r="C2101" s="1">
        <v>603.70000000000005</v>
      </c>
      <c r="D2101" s="1">
        <v>0</v>
      </c>
    </row>
    <row r="2102" spans="1:4" x14ac:dyDescent="0.25">
      <c r="A2102" s="2">
        <v>40179</v>
      </c>
      <c r="B2102" s="1" t="s">
        <v>13</v>
      </c>
      <c r="C2102" s="1">
        <v>600</v>
      </c>
      <c r="D2102" s="1">
        <v>0</v>
      </c>
    </row>
    <row r="2103" spans="1:4" x14ac:dyDescent="0.25">
      <c r="A2103" s="2">
        <v>40210</v>
      </c>
      <c r="B2103" s="1" t="s">
        <v>13</v>
      </c>
      <c r="C2103" s="1">
        <v>601.29999999999995</v>
      </c>
      <c r="D2103" s="1">
        <v>0</v>
      </c>
    </row>
    <row r="2104" spans="1:4" x14ac:dyDescent="0.25">
      <c r="A2104" s="2">
        <v>40238</v>
      </c>
      <c r="B2104" s="1" t="s">
        <v>13</v>
      </c>
      <c r="C2104" s="1">
        <v>602.6</v>
      </c>
      <c r="D2104" s="1">
        <v>0</v>
      </c>
    </row>
    <row r="2105" spans="1:4" x14ac:dyDescent="0.25">
      <c r="A2105" s="2">
        <v>40269</v>
      </c>
      <c r="B2105" s="1" t="s">
        <v>13</v>
      </c>
      <c r="C2105" s="1">
        <v>603.5</v>
      </c>
      <c r="D2105" s="1">
        <v>0</v>
      </c>
    </row>
    <row r="2106" spans="1:4" x14ac:dyDescent="0.25">
      <c r="A2106" s="2">
        <v>40299</v>
      </c>
      <c r="B2106" s="1" t="s">
        <v>13</v>
      </c>
      <c r="C2106" s="1">
        <v>606.20000000000005</v>
      </c>
      <c r="D2106" s="1">
        <v>0</v>
      </c>
    </row>
    <row r="2107" spans="1:4" x14ac:dyDescent="0.25">
      <c r="A2107" s="2">
        <v>40330</v>
      </c>
      <c r="B2107" s="1" t="s">
        <v>13</v>
      </c>
      <c r="C2107" s="1">
        <v>602.79999999999995</v>
      </c>
      <c r="D2107" s="1">
        <v>0</v>
      </c>
    </row>
    <row r="2108" spans="1:4" x14ac:dyDescent="0.25">
      <c r="A2108" s="2">
        <v>40360</v>
      </c>
      <c r="B2108" s="1" t="s">
        <v>13</v>
      </c>
      <c r="C2108" s="1">
        <v>603.9</v>
      </c>
      <c r="D2108" s="1">
        <v>0</v>
      </c>
    </row>
    <row r="2109" spans="1:4" x14ac:dyDescent="0.25">
      <c r="A2109" s="2">
        <v>40391</v>
      </c>
      <c r="B2109" s="1" t="s">
        <v>13</v>
      </c>
      <c r="C2109" s="1">
        <v>604.5</v>
      </c>
      <c r="D2109" s="1">
        <v>0</v>
      </c>
    </row>
    <row r="2110" spans="1:4" x14ac:dyDescent="0.25">
      <c r="A2110" s="2">
        <v>40422</v>
      </c>
      <c r="B2110" s="1" t="s">
        <v>13</v>
      </c>
      <c r="C2110" s="1">
        <v>602.29999999999995</v>
      </c>
      <c r="D2110" s="1">
        <v>0</v>
      </c>
    </row>
    <row r="2111" spans="1:4" x14ac:dyDescent="0.25">
      <c r="A2111" s="2">
        <v>40452</v>
      </c>
      <c r="B2111" s="1" t="s">
        <v>13</v>
      </c>
      <c r="C2111" s="1">
        <v>605.20000000000005</v>
      </c>
      <c r="D2111" s="1">
        <v>0</v>
      </c>
    </row>
    <row r="2112" spans="1:4" x14ac:dyDescent="0.25">
      <c r="A2112" s="2">
        <v>40483</v>
      </c>
      <c r="B2112" s="1" t="s">
        <v>13</v>
      </c>
      <c r="C2112" s="1">
        <v>605.6</v>
      </c>
      <c r="D2112" s="1">
        <v>0</v>
      </c>
    </row>
    <row r="2113" spans="1:4" x14ac:dyDescent="0.25">
      <c r="A2113" s="2">
        <v>40513</v>
      </c>
      <c r="B2113" s="1" t="s">
        <v>13</v>
      </c>
      <c r="C2113" s="1">
        <v>605.1</v>
      </c>
      <c r="D2113" s="1">
        <v>0</v>
      </c>
    </row>
    <row r="2114" spans="1:4" x14ac:dyDescent="0.25">
      <c r="A2114" s="2">
        <v>40544</v>
      </c>
      <c r="B2114" s="1" t="s">
        <v>13</v>
      </c>
      <c r="C2114" s="1">
        <v>606.29999999999995</v>
      </c>
      <c r="D2114" s="1">
        <v>0</v>
      </c>
    </row>
    <row r="2115" spans="1:4" x14ac:dyDescent="0.25">
      <c r="A2115" s="2">
        <v>40575</v>
      </c>
      <c r="B2115" s="1" t="s">
        <v>13</v>
      </c>
      <c r="C2115" s="1">
        <v>606.6</v>
      </c>
      <c r="D2115" s="1">
        <v>0</v>
      </c>
    </row>
    <row r="2116" spans="1:4" x14ac:dyDescent="0.25">
      <c r="A2116" s="2">
        <v>40603</v>
      </c>
      <c r="B2116" s="1" t="s">
        <v>13</v>
      </c>
      <c r="C2116" s="1">
        <v>605.6</v>
      </c>
      <c r="D2116" s="1">
        <v>0</v>
      </c>
    </row>
    <row r="2117" spans="1:4" x14ac:dyDescent="0.25">
      <c r="A2117" s="2">
        <v>40634</v>
      </c>
      <c r="B2117" s="1" t="s">
        <v>13</v>
      </c>
      <c r="C2117" s="1">
        <v>608.20000000000005</v>
      </c>
      <c r="D2117" s="1">
        <v>0</v>
      </c>
    </row>
    <row r="2118" spans="1:4" x14ac:dyDescent="0.25">
      <c r="A2118" s="2">
        <v>40664</v>
      </c>
      <c r="B2118" s="1" t="s">
        <v>13</v>
      </c>
      <c r="C2118" s="1">
        <v>608.5</v>
      </c>
      <c r="D2118" s="1">
        <v>0</v>
      </c>
    </row>
    <row r="2119" spans="1:4" x14ac:dyDescent="0.25">
      <c r="A2119" s="2">
        <v>40695</v>
      </c>
      <c r="B2119" s="1" t="s">
        <v>13</v>
      </c>
      <c r="C2119" s="1">
        <v>608.29999999999995</v>
      </c>
      <c r="D2119" s="1">
        <v>0</v>
      </c>
    </row>
    <row r="2120" spans="1:4" x14ac:dyDescent="0.25">
      <c r="A2120" s="2">
        <v>40725</v>
      </c>
      <c r="B2120" s="1" t="s">
        <v>13</v>
      </c>
      <c r="C2120" s="1">
        <v>611.70000000000005</v>
      </c>
      <c r="D2120" s="1">
        <v>0</v>
      </c>
    </row>
    <row r="2121" spans="1:4" x14ac:dyDescent="0.25">
      <c r="A2121" s="2">
        <v>40756</v>
      </c>
      <c r="B2121" s="1" t="s">
        <v>13</v>
      </c>
      <c r="C2121" s="1">
        <v>613.1</v>
      </c>
      <c r="D2121" s="1">
        <v>0</v>
      </c>
    </row>
    <row r="2122" spans="1:4" x14ac:dyDescent="0.25">
      <c r="A2122" s="2">
        <v>40787</v>
      </c>
      <c r="B2122" s="1" t="s">
        <v>13</v>
      </c>
      <c r="C2122" s="1">
        <v>613.79999999999995</v>
      </c>
      <c r="D2122" s="1">
        <v>0</v>
      </c>
    </row>
    <row r="2123" spans="1:4" x14ac:dyDescent="0.25">
      <c r="A2123" s="2">
        <v>40817</v>
      </c>
      <c r="B2123" s="1" t="s">
        <v>13</v>
      </c>
      <c r="C2123" s="1">
        <v>613.70000000000005</v>
      </c>
      <c r="D2123" s="1">
        <v>0</v>
      </c>
    </row>
    <row r="2124" spans="1:4" x14ac:dyDescent="0.25">
      <c r="A2124" s="2">
        <v>40848</v>
      </c>
      <c r="B2124" s="1" t="s">
        <v>13</v>
      </c>
      <c r="C2124" s="1">
        <v>616.70000000000005</v>
      </c>
      <c r="D2124" s="1">
        <v>0</v>
      </c>
    </row>
    <row r="2125" spans="1:4" x14ac:dyDescent="0.25">
      <c r="A2125" s="2">
        <v>40878</v>
      </c>
      <c r="B2125" s="1" t="s">
        <v>13</v>
      </c>
      <c r="C2125" s="1">
        <v>617.79999999999995</v>
      </c>
      <c r="D2125" s="1">
        <v>0</v>
      </c>
    </row>
    <row r="2126" spans="1:4" x14ac:dyDescent="0.25">
      <c r="A2126" s="2">
        <v>40909</v>
      </c>
      <c r="B2126" s="1" t="s">
        <v>13</v>
      </c>
      <c r="C2126" s="1">
        <v>617.1</v>
      </c>
      <c r="D2126" s="1">
        <v>0</v>
      </c>
    </row>
    <row r="2127" spans="1:4" x14ac:dyDescent="0.25">
      <c r="A2127" s="2">
        <v>40940</v>
      </c>
      <c r="B2127" s="1" t="s">
        <v>13</v>
      </c>
      <c r="C2127" s="1">
        <v>618</v>
      </c>
      <c r="D2127" s="1">
        <v>0</v>
      </c>
    </row>
    <row r="2128" spans="1:4" x14ac:dyDescent="0.25">
      <c r="A2128" s="2">
        <v>40969</v>
      </c>
      <c r="B2128" s="1" t="s">
        <v>13</v>
      </c>
      <c r="C2128" s="1">
        <v>618.70000000000005</v>
      </c>
      <c r="D2128" s="1">
        <v>0</v>
      </c>
    </row>
    <row r="2129" spans="1:4" x14ac:dyDescent="0.25">
      <c r="A2129" s="2">
        <v>41000</v>
      </c>
      <c r="B2129" s="1" t="s">
        <v>13</v>
      </c>
      <c r="C2129" s="1">
        <v>618.1</v>
      </c>
      <c r="D2129" s="1">
        <v>0</v>
      </c>
    </row>
    <row r="2130" spans="1:4" x14ac:dyDescent="0.25">
      <c r="A2130" s="2">
        <v>41030</v>
      </c>
      <c r="B2130" s="1" t="s">
        <v>13</v>
      </c>
      <c r="C2130" s="1">
        <v>620.1</v>
      </c>
      <c r="D2130" s="1">
        <v>0</v>
      </c>
    </row>
    <row r="2131" spans="1:4" x14ac:dyDescent="0.25">
      <c r="A2131" s="2">
        <v>41061</v>
      </c>
      <c r="B2131" s="1" t="s">
        <v>13</v>
      </c>
      <c r="C2131" s="1">
        <v>620.6</v>
      </c>
      <c r="D2131" s="1">
        <v>0</v>
      </c>
    </row>
    <row r="2132" spans="1:4" x14ac:dyDescent="0.25">
      <c r="A2132" s="2">
        <v>41091</v>
      </c>
      <c r="B2132" s="1" t="s">
        <v>13</v>
      </c>
      <c r="C2132" s="1">
        <v>621.70000000000005</v>
      </c>
      <c r="D2132" s="1">
        <v>0</v>
      </c>
    </row>
    <row r="2133" spans="1:4" x14ac:dyDescent="0.25">
      <c r="A2133" s="2">
        <v>41122</v>
      </c>
      <c r="B2133" s="1" t="s">
        <v>13</v>
      </c>
      <c r="C2133" s="1">
        <v>622.5</v>
      </c>
      <c r="D2133" s="1">
        <v>0</v>
      </c>
    </row>
    <row r="2134" spans="1:4" x14ac:dyDescent="0.25">
      <c r="A2134" s="2">
        <v>41153</v>
      </c>
      <c r="B2134" s="1" t="s">
        <v>13</v>
      </c>
      <c r="C2134" s="1">
        <v>624.5</v>
      </c>
      <c r="D2134" s="1">
        <v>0</v>
      </c>
    </row>
    <row r="2135" spans="1:4" x14ac:dyDescent="0.25">
      <c r="A2135" s="2">
        <v>41183</v>
      </c>
      <c r="B2135" s="1" t="s">
        <v>13</v>
      </c>
      <c r="C2135" s="1">
        <v>627.5</v>
      </c>
      <c r="D2135" s="1">
        <v>0</v>
      </c>
    </row>
    <row r="2136" spans="1:4" x14ac:dyDescent="0.25">
      <c r="A2136" s="2">
        <v>41214</v>
      </c>
      <c r="B2136" s="1" t="s">
        <v>13</v>
      </c>
      <c r="C2136" s="1">
        <v>628.5</v>
      </c>
      <c r="D2136" s="1">
        <v>0</v>
      </c>
    </row>
    <row r="2137" spans="1:4" x14ac:dyDescent="0.25">
      <c r="A2137" s="2">
        <v>41244</v>
      </c>
      <c r="B2137" s="1" t="s">
        <v>13</v>
      </c>
      <c r="C2137" s="1">
        <v>629.70000000000005</v>
      </c>
      <c r="D2137" s="1">
        <v>0</v>
      </c>
    </row>
    <row r="2138" spans="1:4" x14ac:dyDescent="0.25">
      <c r="A2138" s="2">
        <v>41275</v>
      </c>
      <c r="B2138" s="1" t="s">
        <v>13</v>
      </c>
      <c r="C2138" s="1">
        <v>633.20000000000005</v>
      </c>
      <c r="D2138" s="1">
        <v>0</v>
      </c>
    </row>
    <row r="2139" spans="1:4" x14ac:dyDescent="0.25">
      <c r="A2139" s="2">
        <v>41306</v>
      </c>
      <c r="B2139" s="1" t="s">
        <v>13</v>
      </c>
      <c r="C2139" s="1">
        <v>635.20000000000005</v>
      </c>
      <c r="D2139" s="1">
        <v>0</v>
      </c>
    </row>
    <row r="2140" spans="1:4" x14ac:dyDescent="0.25">
      <c r="A2140" s="2">
        <v>41334</v>
      </c>
      <c r="B2140" s="1" t="s">
        <v>13</v>
      </c>
      <c r="C2140" s="1">
        <v>636.70000000000005</v>
      </c>
      <c r="D2140" s="1">
        <v>0</v>
      </c>
    </row>
    <row r="2141" spans="1:4" x14ac:dyDescent="0.25">
      <c r="A2141" s="2">
        <v>41365</v>
      </c>
      <c r="B2141" s="1" t="s">
        <v>13</v>
      </c>
      <c r="C2141" s="1">
        <v>638.79999999999995</v>
      </c>
      <c r="D2141" s="1">
        <v>0</v>
      </c>
    </row>
    <row r="2142" spans="1:4" x14ac:dyDescent="0.25">
      <c r="A2142" s="2">
        <v>41395</v>
      </c>
      <c r="B2142" s="1" t="s">
        <v>13</v>
      </c>
      <c r="C2142" s="1">
        <v>639.79999999999995</v>
      </c>
      <c r="D2142" s="1">
        <v>0</v>
      </c>
    </row>
    <row r="2143" spans="1:4" x14ac:dyDescent="0.25">
      <c r="A2143" s="2">
        <v>41426</v>
      </c>
      <c r="B2143" s="1" t="s">
        <v>13</v>
      </c>
      <c r="C2143" s="1">
        <v>640.6</v>
      </c>
      <c r="D2143" s="1">
        <v>0</v>
      </c>
    </row>
    <row r="2144" spans="1:4" x14ac:dyDescent="0.25">
      <c r="A2144" s="2">
        <v>41456</v>
      </c>
      <c r="B2144" s="1" t="s">
        <v>13</v>
      </c>
      <c r="C2144" s="1">
        <v>640.4</v>
      </c>
      <c r="D2144" s="1">
        <v>0</v>
      </c>
    </row>
    <row r="2145" spans="1:4" x14ac:dyDescent="0.25">
      <c r="A2145" s="2">
        <v>41487</v>
      </c>
      <c r="B2145" s="1" t="s">
        <v>13</v>
      </c>
      <c r="C2145" s="1">
        <v>640</v>
      </c>
      <c r="D2145" s="1">
        <v>0</v>
      </c>
    </row>
    <row r="2146" spans="1:4" x14ac:dyDescent="0.25">
      <c r="A2146" s="2">
        <v>41518</v>
      </c>
      <c r="B2146" s="1" t="s">
        <v>13</v>
      </c>
      <c r="C2146" s="1">
        <v>639.79999999999995</v>
      </c>
      <c r="D2146" s="1">
        <v>0</v>
      </c>
    </row>
    <row r="2147" spans="1:4" x14ac:dyDescent="0.25">
      <c r="A2147" s="2">
        <v>41548</v>
      </c>
      <c r="B2147" s="1" t="s">
        <v>13</v>
      </c>
      <c r="C2147" s="1">
        <v>640.4</v>
      </c>
      <c r="D2147" s="1">
        <v>0</v>
      </c>
    </row>
    <row r="2148" spans="1:4" x14ac:dyDescent="0.25">
      <c r="A2148" s="2">
        <v>41579</v>
      </c>
      <c r="B2148" s="1" t="s">
        <v>13</v>
      </c>
      <c r="C2148" s="1">
        <v>639.1</v>
      </c>
      <c r="D2148" s="1">
        <v>0</v>
      </c>
    </row>
    <row r="2149" spans="1:4" x14ac:dyDescent="0.25">
      <c r="A2149" s="2">
        <v>41609</v>
      </c>
      <c r="B2149" s="1" t="s">
        <v>13</v>
      </c>
      <c r="C2149" s="1">
        <v>638.20000000000005</v>
      </c>
      <c r="D2149" s="1">
        <v>0</v>
      </c>
    </row>
    <row r="2150" spans="1:4" x14ac:dyDescent="0.25">
      <c r="A2150" s="2">
        <v>41640</v>
      </c>
      <c r="B2150" s="1" t="s">
        <v>13</v>
      </c>
      <c r="C2150" s="1">
        <v>638.5</v>
      </c>
      <c r="D2150" s="1">
        <v>0</v>
      </c>
    </row>
    <row r="2151" spans="1:4" x14ac:dyDescent="0.25">
      <c r="A2151" s="2">
        <v>41671</v>
      </c>
      <c r="B2151" s="1" t="s">
        <v>13</v>
      </c>
      <c r="C2151" s="1">
        <v>641.1</v>
      </c>
      <c r="D2151" s="1">
        <v>0</v>
      </c>
    </row>
    <row r="2152" spans="1:4" x14ac:dyDescent="0.25">
      <c r="A2152" s="2">
        <v>41699</v>
      </c>
      <c r="B2152" s="1" t="s">
        <v>13</v>
      </c>
      <c r="C2152" s="1">
        <v>641.29999999999995</v>
      </c>
      <c r="D2152" s="1">
        <v>0</v>
      </c>
    </row>
    <row r="2153" spans="1:4" x14ac:dyDescent="0.25">
      <c r="A2153" s="2">
        <v>41730</v>
      </c>
      <c r="B2153" s="1" t="s">
        <v>13</v>
      </c>
      <c r="C2153" s="1">
        <v>643.20000000000005</v>
      </c>
      <c r="D2153" s="1">
        <v>0</v>
      </c>
    </row>
    <row r="2154" spans="1:4" x14ac:dyDescent="0.25">
      <c r="A2154" s="2">
        <v>41760</v>
      </c>
      <c r="B2154" s="1" t="s">
        <v>13</v>
      </c>
      <c r="C2154" s="1">
        <v>643.79999999999995</v>
      </c>
      <c r="D2154" s="1">
        <v>0</v>
      </c>
    </row>
    <row r="2155" spans="1:4" x14ac:dyDescent="0.25">
      <c r="A2155" s="2">
        <v>41791</v>
      </c>
      <c r="B2155" s="1" t="s">
        <v>13</v>
      </c>
      <c r="C2155" s="1">
        <v>645.20000000000005</v>
      </c>
      <c r="D2155" s="1">
        <v>0</v>
      </c>
    </row>
    <row r="2156" spans="1:4" x14ac:dyDescent="0.25">
      <c r="A2156" s="2">
        <v>41821</v>
      </c>
      <c r="B2156" s="1" t="s">
        <v>13</v>
      </c>
      <c r="C2156" s="1">
        <v>647.6</v>
      </c>
      <c r="D2156" s="1">
        <v>0</v>
      </c>
    </row>
    <row r="2157" spans="1:4" x14ac:dyDescent="0.25">
      <c r="A2157" s="2">
        <v>41852</v>
      </c>
      <c r="B2157" s="1" t="s">
        <v>13</v>
      </c>
      <c r="C2157" s="1">
        <v>642.79999999999995</v>
      </c>
      <c r="D2157" s="1">
        <v>0</v>
      </c>
    </row>
    <row r="2158" spans="1:4" x14ac:dyDescent="0.25">
      <c r="A2158" s="2">
        <v>41883</v>
      </c>
      <c r="B2158" s="1" t="s">
        <v>13</v>
      </c>
      <c r="C2158" s="1">
        <v>644.20000000000005</v>
      </c>
      <c r="D2158" s="1">
        <v>0</v>
      </c>
    </row>
    <row r="2159" spans="1:4" x14ac:dyDescent="0.25">
      <c r="A2159" s="2">
        <v>41913</v>
      </c>
      <c r="B2159" s="1" t="s">
        <v>13</v>
      </c>
      <c r="C2159" s="1">
        <v>650</v>
      </c>
      <c r="D2159" s="1">
        <v>0</v>
      </c>
    </row>
    <row r="2160" spans="1:4" x14ac:dyDescent="0.25">
      <c r="A2160" s="2">
        <v>41944</v>
      </c>
      <c r="B2160" s="1" t="s">
        <v>13</v>
      </c>
      <c r="C2160" s="1">
        <v>650.5</v>
      </c>
      <c r="D2160" s="1">
        <v>0</v>
      </c>
    </row>
    <row r="2161" spans="1:4" x14ac:dyDescent="0.25">
      <c r="A2161" s="2">
        <v>41974</v>
      </c>
      <c r="B2161" s="1" t="s">
        <v>13</v>
      </c>
      <c r="C2161" s="1">
        <v>647.79999999999995</v>
      </c>
      <c r="D2161" s="1">
        <v>0</v>
      </c>
    </row>
    <row r="2162" spans="1:4" x14ac:dyDescent="0.25">
      <c r="A2162" s="2">
        <v>36526</v>
      </c>
      <c r="B2162" s="1" t="s">
        <v>14</v>
      </c>
      <c r="C2162" s="1">
        <v>2208.9</v>
      </c>
      <c r="D2162" s="1">
        <v>0</v>
      </c>
    </row>
    <row r="2163" spans="1:4" x14ac:dyDescent="0.25">
      <c r="A2163" s="2">
        <v>36557</v>
      </c>
      <c r="B2163" s="1" t="s">
        <v>14</v>
      </c>
      <c r="C2163" s="1">
        <v>2217.6999999999998</v>
      </c>
      <c r="D2163" s="1">
        <v>0</v>
      </c>
    </row>
    <row r="2164" spans="1:4" x14ac:dyDescent="0.25">
      <c r="A2164" s="2">
        <v>36586</v>
      </c>
      <c r="B2164" s="1" t="s">
        <v>14</v>
      </c>
      <c r="C2164" s="1">
        <v>2225.1999999999998</v>
      </c>
      <c r="D2164" s="1">
        <v>0</v>
      </c>
    </row>
    <row r="2165" spans="1:4" x14ac:dyDescent="0.25">
      <c r="A2165" s="2">
        <v>36617</v>
      </c>
      <c r="B2165" s="1" t="s">
        <v>14</v>
      </c>
      <c r="C2165" s="1">
        <v>2229.3000000000002</v>
      </c>
      <c r="D2165" s="1">
        <v>0</v>
      </c>
    </row>
    <row r="2166" spans="1:4" x14ac:dyDescent="0.25">
      <c r="A2166" s="2">
        <v>36647</v>
      </c>
      <c r="B2166" s="1" t="s">
        <v>14</v>
      </c>
      <c r="C2166" s="1">
        <v>2242.6999999999998</v>
      </c>
      <c r="D2166" s="1">
        <v>0</v>
      </c>
    </row>
    <row r="2167" spans="1:4" x14ac:dyDescent="0.25">
      <c r="A2167" s="2">
        <v>36678</v>
      </c>
      <c r="B2167" s="1" t="s">
        <v>14</v>
      </c>
      <c r="C2167" s="1">
        <v>2240.6</v>
      </c>
      <c r="D2167" s="1">
        <v>0</v>
      </c>
    </row>
    <row r="2168" spans="1:4" x14ac:dyDescent="0.25">
      <c r="A2168" s="2">
        <v>36708</v>
      </c>
      <c r="B2168" s="1" t="s">
        <v>14</v>
      </c>
      <c r="C2168" s="1">
        <v>2244.5</v>
      </c>
      <c r="D2168" s="1">
        <v>0</v>
      </c>
    </row>
    <row r="2169" spans="1:4" x14ac:dyDescent="0.25">
      <c r="A2169" s="2">
        <v>36739</v>
      </c>
      <c r="B2169" s="1" t="s">
        <v>14</v>
      </c>
      <c r="C2169" s="1">
        <v>2250.3000000000002</v>
      </c>
      <c r="D2169" s="1">
        <v>0</v>
      </c>
    </row>
    <row r="2170" spans="1:4" x14ac:dyDescent="0.25">
      <c r="A2170" s="2">
        <v>36770</v>
      </c>
      <c r="B2170" s="1" t="s">
        <v>14</v>
      </c>
      <c r="C2170" s="1">
        <v>2259.6</v>
      </c>
      <c r="D2170" s="1">
        <v>0</v>
      </c>
    </row>
    <row r="2171" spans="1:4" x14ac:dyDescent="0.25">
      <c r="A2171" s="2">
        <v>36800</v>
      </c>
      <c r="B2171" s="1" t="s">
        <v>14</v>
      </c>
      <c r="C2171" s="1">
        <v>2262.1</v>
      </c>
      <c r="D2171" s="1">
        <v>0</v>
      </c>
    </row>
    <row r="2172" spans="1:4" x14ac:dyDescent="0.25">
      <c r="A2172" s="2">
        <v>36831</v>
      </c>
      <c r="B2172" s="1" t="s">
        <v>14</v>
      </c>
      <c r="C2172" s="1">
        <v>2265.9</v>
      </c>
      <c r="D2172" s="1">
        <v>0</v>
      </c>
    </row>
    <row r="2173" spans="1:4" x14ac:dyDescent="0.25">
      <c r="A2173" s="2">
        <v>36861</v>
      </c>
      <c r="B2173" s="1" t="s">
        <v>14</v>
      </c>
      <c r="C2173" s="1">
        <v>2273.8000000000002</v>
      </c>
      <c r="D2173" s="1">
        <v>0</v>
      </c>
    </row>
    <row r="2174" spans="1:4" x14ac:dyDescent="0.25">
      <c r="A2174" s="2">
        <v>36892</v>
      </c>
      <c r="B2174" s="1" t="s">
        <v>14</v>
      </c>
      <c r="C2174" s="1">
        <v>2265.9</v>
      </c>
      <c r="D2174" s="1">
        <v>0</v>
      </c>
    </row>
    <row r="2175" spans="1:4" x14ac:dyDescent="0.25">
      <c r="A2175" s="2">
        <v>36923</v>
      </c>
      <c r="B2175" s="1" t="s">
        <v>14</v>
      </c>
      <c r="C2175" s="1">
        <v>2273.1999999999998</v>
      </c>
      <c r="D2175" s="1">
        <v>0</v>
      </c>
    </row>
    <row r="2176" spans="1:4" x14ac:dyDescent="0.25">
      <c r="A2176" s="2">
        <v>36951</v>
      </c>
      <c r="B2176" s="1" t="s">
        <v>14</v>
      </c>
      <c r="C2176" s="1">
        <v>2278.1999999999998</v>
      </c>
      <c r="D2176" s="1">
        <v>0</v>
      </c>
    </row>
    <row r="2177" spans="1:4" x14ac:dyDescent="0.25">
      <c r="A2177" s="2">
        <v>36982</v>
      </c>
      <c r="B2177" s="1" t="s">
        <v>14</v>
      </c>
      <c r="C2177" s="1">
        <v>2275</v>
      </c>
      <c r="D2177" s="1">
        <v>0</v>
      </c>
    </row>
    <row r="2178" spans="1:4" x14ac:dyDescent="0.25">
      <c r="A2178" s="2">
        <v>37012</v>
      </c>
      <c r="B2178" s="1" t="s">
        <v>14</v>
      </c>
      <c r="C2178" s="1">
        <v>2268.9</v>
      </c>
      <c r="D2178" s="1">
        <v>0</v>
      </c>
    </row>
    <row r="2179" spans="1:4" x14ac:dyDescent="0.25">
      <c r="A2179" s="2">
        <v>37043</v>
      </c>
      <c r="B2179" s="1" t="s">
        <v>14</v>
      </c>
      <c r="C2179" s="1">
        <v>2268</v>
      </c>
      <c r="D2179" s="1">
        <v>0</v>
      </c>
    </row>
    <row r="2180" spans="1:4" x14ac:dyDescent="0.25">
      <c r="A2180" s="2">
        <v>37073</v>
      </c>
      <c r="B2180" s="1" t="s">
        <v>14</v>
      </c>
      <c r="C2180" s="1">
        <v>2269.1</v>
      </c>
      <c r="D2180" s="1">
        <v>0</v>
      </c>
    </row>
    <row r="2181" spans="1:4" x14ac:dyDescent="0.25">
      <c r="A2181" s="2">
        <v>37104</v>
      </c>
      <c r="B2181" s="1" t="s">
        <v>14</v>
      </c>
      <c r="C2181" s="1">
        <v>2267.5</v>
      </c>
      <c r="D2181" s="1">
        <v>0</v>
      </c>
    </row>
    <row r="2182" spans="1:4" x14ac:dyDescent="0.25">
      <c r="A2182" s="2">
        <v>37135</v>
      </c>
      <c r="B2182" s="1" t="s">
        <v>14</v>
      </c>
      <c r="C2182" s="1">
        <v>2267.1</v>
      </c>
      <c r="D2182" s="1">
        <v>0</v>
      </c>
    </row>
    <row r="2183" spans="1:4" x14ac:dyDescent="0.25">
      <c r="A2183" s="2">
        <v>37165</v>
      </c>
      <c r="B2183" s="1" t="s">
        <v>14</v>
      </c>
      <c r="C2183" s="1">
        <v>2258</v>
      </c>
      <c r="D2183" s="1">
        <v>0</v>
      </c>
    </row>
    <row r="2184" spans="1:4" x14ac:dyDescent="0.25">
      <c r="A2184" s="2">
        <v>37196</v>
      </c>
      <c r="B2184" s="1" t="s">
        <v>14</v>
      </c>
      <c r="C2184" s="1">
        <v>2250.8000000000002</v>
      </c>
      <c r="D2184" s="1">
        <v>0</v>
      </c>
    </row>
    <row r="2185" spans="1:4" x14ac:dyDescent="0.25">
      <c r="A2185" s="2">
        <v>37226</v>
      </c>
      <c r="B2185" s="1" t="s">
        <v>14</v>
      </c>
      <c r="C2185" s="1">
        <v>2246.5</v>
      </c>
      <c r="D2185" s="1">
        <v>0</v>
      </c>
    </row>
    <row r="2186" spans="1:4" x14ac:dyDescent="0.25">
      <c r="A2186" s="2">
        <v>37257</v>
      </c>
      <c r="B2186" s="1" t="s">
        <v>14</v>
      </c>
      <c r="C2186" s="1">
        <v>2256.6999999999998</v>
      </c>
      <c r="D2186" s="1">
        <v>0</v>
      </c>
    </row>
    <row r="2187" spans="1:4" x14ac:dyDescent="0.25">
      <c r="A2187" s="2">
        <v>37288</v>
      </c>
      <c r="B2187" s="1" t="s">
        <v>14</v>
      </c>
      <c r="C2187" s="1">
        <v>2252</v>
      </c>
      <c r="D2187" s="1">
        <v>0</v>
      </c>
    </row>
    <row r="2188" spans="1:4" x14ac:dyDescent="0.25">
      <c r="A2188" s="2">
        <v>37316</v>
      </c>
      <c r="B2188" s="1" t="s">
        <v>14</v>
      </c>
      <c r="C2188" s="1">
        <v>2257.8000000000002</v>
      </c>
      <c r="D2188" s="1">
        <v>0</v>
      </c>
    </row>
    <row r="2189" spans="1:4" x14ac:dyDescent="0.25">
      <c r="A2189" s="2">
        <v>37347</v>
      </c>
      <c r="B2189" s="1" t="s">
        <v>14</v>
      </c>
      <c r="C2189" s="1">
        <v>2268.6999999999998</v>
      </c>
      <c r="D2189" s="1">
        <v>0</v>
      </c>
    </row>
    <row r="2190" spans="1:4" x14ac:dyDescent="0.25">
      <c r="A2190" s="2">
        <v>37377</v>
      </c>
      <c r="B2190" s="1" t="s">
        <v>14</v>
      </c>
      <c r="C2190" s="1">
        <v>2267.1999999999998</v>
      </c>
      <c r="D2190" s="1">
        <v>0</v>
      </c>
    </row>
    <row r="2191" spans="1:4" x14ac:dyDescent="0.25">
      <c r="A2191" s="2">
        <v>37408</v>
      </c>
      <c r="B2191" s="1" t="s">
        <v>14</v>
      </c>
      <c r="C2191" s="1">
        <v>2270.6999999999998</v>
      </c>
      <c r="D2191" s="1">
        <v>0</v>
      </c>
    </row>
    <row r="2192" spans="1:4" x14ac:dyDescent="0.25">
      <c r="A2192" s="2">
        <v>37438</v>
      </c>
      <c r="B2192" s="1" t="s">
        <v>14</v>
      </c>
      <c r="C2192" s="1">
        <v>2265.1</v>
      </c>
      <c r="D2192" s="1">
        <v>0</v>
      </c>
    </row>
    <row r="2193" spans="1:4" x14ac:dyDescent="0.25">
      <c r="A2193" s="2">
        <v>37469</v>
      </c>
      <c r="B2193" s="1" t="s">
        <v>14</v>
      </c>
      <c r="C2193" s="1">
        <v>2269.1999999999998</v>
      </c>
      <c r="D2193" s="1">
        <v>0</v>
      </c>
    </row>
    <row r="2194" spans="1:4" x14ac:dyDescent="0.25">
      <c r="A2194" s="2">
        <v>37500</v>
      </c>
      <c r="B2194" s="1" t="s">
        <v>14</v>
      </c>
      <c r="C2194" s="1">
        <v>2267.3000000000002</v>
      </c>
      <c r="D2194" s="1">
        <v>0</v>
      </c>
    </row>
    <row r="2195" spans="1:4" x14ac:dyDescent="0.25">
      <c r="A2195" s="2">
        <v>37530</v>
      </c>
      <c r="B2195" s="1" t="s">
        <v>14</v>
      </c>
      <c r="C2195" s="1">
        <v>2270.6</v>
      </c>
      <c r="D2195" s="1">
        <v>0</v>
      </c>
    </row>
    <row r="2196" spans="1:4" x14ac:dyDescent="0.25">
      <c r="A2196" s="2">
        <v>37561</v>
      </c>
      <c r="B2196" s="1" t="s">
        <v>14</v>
      </c>
      <c r="C2196" s="1">
        <v>2285.3000000000002</v>
      </c>
      <c r="D2196" s="1">
        <v>0</v>
      </c>
    </row>
    <row r="2197" spans="1:4" x14ac:dyDescent="0.25">
      <c r="A2197" s="2">
        <v>37591</v>
      </c>
      <c r="B2197" s="1" t="s">
        <v>14</v>
      </c>
      <c r="C2197" s="1">
        <v>2278.1</v>
      </c>
      <c r="D2197" s="1">
        <v>0</v>
      </c>
    </row>
    <row r="2198" spans="1:4" x14ac:dyDescent="0.25">
      <c r="A2198" s="2">
        <v>37622</v>
      </c>
      <c r="B2198" s="1" t="s">
        <v>14</v>
      </c>
      <c r="C2198" s="1">
        <v>2280.4</v>
      </c>
      <c r="D2198" s="1">
        <v>0</v>
      </c>
    </row>
    <row r="2199" spans="1:4" x14ac:dyDescent="0.25">
      <c r="A2199" s="2">
        <v>37653</v>
      </c>
      <c r="B2199" s="1" t="s">
        <v>14</v>
      </c>
      <c r="C2199" s="1">
        <v>2281.5</v>
      </c>
      <c r="D2199" s="1">
        <v>0</v>
      </c>
    </row>
    <row r="2200" spans="1:4" x14ac:dyDescent="0.25">
      <c r="A2200" s="2">
        <v>37681</v>
      </c>
      <c r="B2200" s="1" t="s">
        <v>14</v>
      </c>
      <c r="C2200" s="1">
        <v>2283.4</v>
      </c>
      <c r="D2200" s="1">
        <v>0</v>
      </c>
    </row>
    <row r="2201" spans="1:4" x14ac:dyDescent="0.25">
      <c r="A2201" s="2">
        <v>37712</v>
      </c>
      <c r="B2201" s="1" t="s">
        <v>14</v>
      </c>
      <c r="C2201" s="1">
        <v>2287.1999999999998</v>
      </c>
      <c r="D2201" s="1">
        <v>0</v>
      </c>
    </row>
    <row r="2202" spans="1:4" x14ac:dyDescent="0.25">
      <c r="A2202" s="2">
        <v>37742</v>
      </c>
      <c r="B2202" s="1" t="s">
        <v>14</v>
      </c>
      <c r="C2202" s="1">
        <v>2290.6</v>
      </c>
      <c r="D2202" s="1">
        <v>0</v>
      </c>
    </row>
    <row r="2203" spans="1:4" x14ac:dyDescent="0.25">
      <c r="A2203" s="2">
        <v>37773</v>
      </c>
      <c r="B2203" s="1" t="s">
        <v>14</v>
      </c>
      <c r="C2203" s="1">
        <v>2292.9</v>
      </c>
      <c r="D2203" s="1">
        <v>0</v>
      </c>
    </row>
    <row r="2204" spans="1:4" x14ac:dyDescent="0.25">
      <c r="A2204" s="2">
        <v>37803</v>
      </c>
      <c r="B2204" s="1" t="s">
        <v>14</v>
      </c>
      <c r="C2204" s="1">
        <v>2295.6999999999998</v>
      </c>
      <c r="D2204" s="1">
        <v>0</v>
      </c>
    </row>
    <row r="2205" spans="1:4" x14ac:dyDescent="0.25">
      <c r="A2205" s="2">
        <v>37834</v>
      </c>
      <c r="B2205" s="1" t="s">
        <v>14</v>
      </c>
      <c r="C2205" s="1">
        <v>2301.6999999999998</v>
      </c>
      <c r="D2205" s="1">
        <v>0</v>
      </c>
    </row>
    <row r="2206" spans="1:4" x14ac:dyDescent="0.25">
      <c r="A2206" s="2">
        <v>37865</v>
      </c>
      <c r="B2206" s="1" t="s">
        <v>14</v>
      </c>
      <c r="C2206" s="1">
        <v>2304</v>
      </c>
      <c r="D2206" s="1">
        <v>0</v>
      </c>
    </row>
    <row r="2207" spans="1:4" x14ac:dyDescent="0.25">
      <c r="A2207" s="2">
        <v>37895</v>
      </c>
      <c r="B2207" s="1" t="s">
        <v>14</v>
      </c>
      <c r="C2207" s="1">
        <v>2318</v>
      </c>
      <c r="D2207" s="1">
        <v>0</v>
      </c>
    </row>
    <row r="2208" spans="1:4" x14ac:dyDescent="0.25">
      <c r="A2208" s="2">
        <v>37926</v>
      </c>
      <c r="B2208" s="1" t="s">
        <v>14</v>
      </c>
      <c r="C2208" s="1">
        <v>2322.9</v>
      </c>
      <c r="D2208" s="1">
        <v>0</v>
      </c>
    </row>
    <row r="2209" spans="1:4" x14ac:dyDescent="0.25">
      <c r="A2209" s="2">
        <v>37956</v>
      </c>
      <c r="B2209" s="1" t="s">
        <v>14</v>
      </c>
      <c r="C2209" s="1">
        <v>2329.4</v>
      </c>
      <c r="D2209" s="1">
        <v>0</v>
      </c>
    </row>
    <row r="2210" spans="1:4" x14ac:dyDescent="0.25">
      <c r="A2210" s="2">
        <v>37987</v>
      </c>
      <c r="B2210" s="1" t="s">
        <v>14</v>
      </c>
      <c r="C2210" s="1">
        <v>2336.8000000000002</v>
      </c>
      <c r="D2210" s="1">
        <v>0</v>
      </c>
    </row>
    <row r="2211" spans="1:4" x14ac:dyDescent="0.25">
      <c r="A2211" s="2">
        <v>38018</v>
      </c>
      <c r="B2211" s="1" t="s">
        <v>14</v>
      </c>
      <c r="C2211" s="1">
        <v>2342.1999999999998</v>
      </c>
      <c r="D2211" s="1">
        <v>0</v>
      </c>
    </row>
    <row r="2212" spans="1:4" x14ac:dyDescent="0.25">
      <c r="A2212" s="2">
        <v>38047</v>
      </c>
      <c r="B2212" s="1" t="s">
        <v>14</v>
      </c>
      <c r="C2212" s="1">
        <v>2350</v>
      </c>
      <c r="D2212" s="1">
        <v>0</v>
      </c>
    </row>
    <row r="2213" spans="1:4" x14ac:dyDescent="0.25">
      <c r="A2213" s="2">
        <v>38078</v>
      </c>
      <c r="B2213" s="1" t="s">
        <v>14</v>
      </c>
      <c r="C2213" s="1">
        <v>2356.8000000000002</v>
      </c>
      <c r="D2213" s="1">
        <v>0</v>
      </c>
    </row>
    <row r="2214" spans="1:4" x14ac:dyDescent="0.25">
      <c r="A2214" s="2">
        <v>38108</v>
      </c>
      <c r="B2214" s="1" t="s">
        <v>14</v>
      </c>
      <c r="C2214" s="1">
        <v>2367.8000000000002</v>
      </c>
      <c r="D2214" s="1">
        <v>0</v>
      </c>
    </row>
    <row r="2215" spans="1:4" x14ac:dyDescent="0.25">
      <c r="A2215" s="2">
        <v>38139</v>
      </c>
      <c r="B2215" s="1" t="s">
        <v>14</v>
      </c>
      <c r="C2215" s="1">
        <v>2377.3000000000002</v>
      </c>
      <c r="D2215" s="1">
        <v>0</v>
      </c>
    </row>
    <row r="2216" spans="1:4" x14ac:dyDescent="0.25">
      <c r="A2216" s="2">
        <v>38169</v>
      </c>
      <c r="B2216" s="1" t="s">
        <v>14</v>
      </c>
      <c r="C2216" s="1">
        <v>2388</v>
      </c>
      <c r="D2216" s="1">
        <v>0</v>
      </c>
    </row>
    <row r="2217" spans="1:4" x14ac:dyDescent="0.25">
      <c r="A2217" s="2">
        <v>38200</v>
      </c>
      <c r="B2217" s="1" t="s">
        <v>14</v>
      </c>
      <c r="C2217" s="1">
        <v>2395.8000000000002</v>
      </c>
      <c r="D2217" s="1">
        <v>0</v>
      </c>
    </row>
    <row r="2218" spans="1:4" x14ac:dyDescent="0.25">
      <c r="A2218" s="2">
        <v>38231</v>
      </c>
      <c r="B2218" s="1" t="s">
        <v>14</v>
      </c>
      <c r="C2218" s="1">
        <v>2398.9</v>
      </c>
      <c r="D2218" s="1">
        <v>0</v>
      </c>
    </row>
    <row r="2219" spans="1:4" x14ac:dyDescent="0.25">
      <c r="A2219" s="2">
        <v>38261</v>
      </c>
      <c r="B2219" s="1" t="s">
        <v>14</v>
      </c>
      <c r="C2219" s="1">
        <v>2425.3000000000002</v>
      </c>
      <c r="D2219" s="1">
        <v>0</v>
      </c>
    </row>
    <row r="2220" spans="1:4" x14ac:dyDescent="0.25">
      <c r="A2220" s="2">
        <v>38292</v>
      </c>
      <c r="B2220" s="1" t="s">
        <v>14</v>
      </c>
      <c r="C2220" s="1">
        <v>2431</v>
      </c>
      <c r="D2220" s="1">
        <v>0</v>
      </c>
    </row>
    <row r="2221" spans="1:4" x14ac:dyDescent="0.25">
      <c r="A2221" s="2">
        <v>38322</v>
      </c>
      <c r="B2221" s="1" t="s">
        <v>14</v>
      </c>
      <c r="C2221" s="1">
        <v>2442.8000000000002</v>
      </c>
      <c r="D2221" s="1">
        <v>0</v>
      </c>
    </row>
    <row r="2222" spans="1:4" x14ac:dyDescent="0.25">
      <c r="A2222" s="2">
        <v>38353</v>
      </c>
      <c r="B2222" s="1" t="s">
        <v>14</v>
      </c>
      <c r="C2222" s="1">
        <v>2445</v>
      </c>
      <c r="D2222" s="1">
        <v>0</v>
      </c>
    </row>
    <row r="2223" spans="1:4" x14ac:dyDescent="0.25">
      <c r="A2223" s="2">
        <v>38384</v>
      </c>
      <c r="B2223" s="1" t="s">
        <v>14</v>
      </c>
      <c r="C2223" s="1">
        <v>2457.6999999999998</v>
      </c>
      <c r="D2223" s="1">
        <v>0</v>
      </c>
    </row>
    <row r="2224" spans="1:4" x14ac:dyDescent="0.25">
      <c r="A2224" s="2">
        <v>38412</v>
      </c>
      <c r="B2224" s="1" t="s">
        <v>14</v>
      </c>
      <c r="C2224" s="1">
        <v>2466.5</v>
      </c>
      <c r="D2224" s="1">
        <v>0</v>
      </c>
    </row>
    <row r="2225" spans="1:4" x14ac:dyDescent="0.25">
      <c r="A2225" s="2">
        <v>38443</v>
      </c>
      <c r="B2225" s="1" t="s">
        <v>14</v>
      </c>
      <c r="C2225" s="1">
        <v>2488.4</v>
      </c>
      <c r="D2225" s="1">
        <v>0</v>
      </c>
    </row>
    <row r="2226" spans="1:4" x14ac:dyDescent="0.25">
      <c r="A2226" s="2">
        <v>38473</v>
      </c>
      <c r="B2226" s="1" t="s">
        <v>14</v>
      </c>
      <c r="C2226" s="1">
        <v>2499.1999999999998</v>
      </c>
      <c r="D2226" s="1">
        <v>0</v>
      </c>
    </row>
    <row r="2227" spans="1:4" x14ac:dyDescent="0.25">
      <c r="A2227" s="2">
        <v>38504</v>
      </c>
      <c r="B2227" s="1" t="s">
        <v>14</v>
      </c>
      <c r="C2227" s="1">
        <v>2507.6</v>
      </c>
      <c r="D2227" s="1">
        <v>0</v>
      </c>
    </row>
    <row r="2228" spans="1:4" x14ac:dyDescent="0.25">
      <c r="A2228" s="2">
        <v>38534</v>
      </c>
      <c r="B2228" s="1" t="s">
        <v>14</v>
      </c>
      <c r="C2228" s="1">
        <v>2525</v>
      </c>
      <c r="D2228" s="1">
        <v>0</v>
      </c>
    </row>
    <row r="2229" spans="1:4" x14ac:dyDescent="0.25">
      <c r="A2229" s="2">
        <v>38565</v>
      </c>
      <c r="B2229" s="1" t="s">
        <v>14</v>
      </c>
      <c r="C2229" s="1">
        <v>2533.8000000000002</v>
      </c>
      <c r="D2229" s="1">
        <v>0</v>
      </c>
    </row>
    <row r="2230" spans="1:4" x14ac:dyDescent="0.25">
      <c r="A2230" s="2">
        <v>38596</v>
      </c>
      <c r="B2230" s="1" t="s">
        <v>14</v>
      </c>
      <c r="C2230" s="1">
        <v>2547.5</v>
      </c>
      <c r="D2230" s="1">
        <v>0</v>
      </c>
    </row>
    <row r="2231" spans="1:4" x14ac:dyDescent="0.25">
      <c r="A2231" s="2">
        <v>38626</v>
      </c>
      <c r="B2231" s="1" t="s">
        <v>14</v>
      </c>
      <c r="C2231" s="1">
        <v>2548.1</v>
      </c>
      <c r="D2231" s="1">
        <v>0</v>
      </c>
    </row>
    <row r="2232" spans="1:4" x14ac:dyDescent="0.25">
      <c r="A2232" s="2">
        <v>38657</v>
      </c>
      <c r="B2232" s="1" t="s">
        <v>14</v>
      </c>
      <c r="C2232" s="1">
        <v>2560.1</v>
      </c>
      <c r="D2232" s="1">
        <v>0</v>
      </c>
    </row>
    <row r="2233" spans="1:4" x14ac:dyDescent="0.25">
      <c r="A2233" s="2">
        <v>38687</v>
      </c>
      <c r="B2233" s="1" t="s">
        <v>14</v>
      </c>
      <c r="C2233" s="1">
        <v>2571.3000000000002</v>
      </c>
      <c r="D2233" s="1">
        <v>0</v>
      </c>
    </row>
    <row r="2234" spans="1:4" x14ac:dyDescent="0.25">
      <c r="A2234" s="2">
        <v>38718</v>
      </c>
      <c r="B2234" s="1" t="s">
        <v>14</v>
      </c>
      <c r="C2234" s="1">
        <v>2594.8000000000002</v>
      </c>
      <c r="D2234" s="1">
        <v>0</v>
      </c>
    </row>
    <row r="2235" spans="1:4" x14ac:dyDescent="0.25">
      <c r="A2235" s="2">
        <v>38749</v>
      </c>
      <c r="B2235" s="1" t="s">
        <v>14</v>
      </c>
      <c r="C2235" s="1">
        <v>2609.4</v>
      </c>
      <c r="D2235" s="1">
        <v>0</v>
      </c>
    </row>
    <row r="2236" spans="1:4" x14ac:dyDescent="0.25">
      <c r="A2236" s="2">
        <v>38777</v>
      </c>
      <c r="B2236" s="1" t="s">
        <v>14</v>
      </c>
      <c r="C2236" s="1">
        <v>2622.6</v>
      </c>
      <c r="D2236" s="1">
        <v>0</v>
      </c>
    </row>
    <row r="2237" spans="1:4" x14ac:dyDescent="0.25">
      <c r="A2237" s="2">
        <v>38808</v>
      </c>
      <c r="B2237" s="1" t="s">
        <v>14</v>
      </c>
      <c r="C2237" s="1">
        <v>2629.1</v>
      </c>
      <c r="D2237" s="1">
        <v>0</v>
      </c>
    </row>
    <row r="2238" spans="1:4" x14ac:dyDescent="0.25">
      <c r="A2238" s="2">
        <v>38838</v>
      </c>
      <c r="B2238" s="1" t="s">
        <v>14</v>
      </c>
      <c r="C2238" s="1">
        <v>2636.6</v>
      </c>
      <c r="D2238" s="1">
        <v>0</v>
      </c>
    </row>
    <row r="2239" spans="1:4" x14ac:dyDescent="0.25">
      <c r="A2239" s="2">
        <v>38869</v>
      </c>
      <c r="B2239" s="1" t="s">
        <v>14</v>
      </c>
      <c r="C2239" s="1">
        <v>2645.8</v>
      </c>
      <c r="D2239" s="1">
        <v>0</v>
      </c>
    </row>
    <row r="2240" spans="1:4" x14ac:dyDescent="0.25">
      <c r="A2240" s="2">
        <v>38899</v>
      </c>
      <c r="B2240" s="1" t="s">
        <v>14</v>
      </c>
      <c r="C2240" s="1">
        <v>2645.5</v>
      </c>
      <c r="D2240" s="1">
        <v>0</v>
      </c>
    </row>
    <row r="2241" spans="1:4" x14ac:dyDescent="0.25">
      <c r="A2241" s="2">
        <v>38930</v>
      </c>
      <c r="B2241" s="1" t="s">
        <v>14</v>
      </c>
      <c r="C2241" s="1">
        <v>2651.5</v>
      </c>
      <c r="D2241" s="1">
        <v>0</v>
      </c>
    </row>
    <row r="2242" spans="1:4" x14ac:dyDescent="0.25">
      <c r="A2242" s="2">
        <v>38961</v>
      </c>
      <c r="B2242" s="1" t="s">
        <v>14</v>
      </c>
      <c r="C2242" s="1">
        <v>2658.7</v>
      </c>
      <c r="D2242" s="1">
        <v>0</v>
      </c>
    </row>
    <row r="2243" spans="1:4" x14ac:dyDescent="0.25">
      <c r="A2243" s="2">
        <v>38991</v>
      </c>
      <c r="B2243" s="1" t="s">
        <v>14</v>
      </c>
      <c r="C2243" s="1">
        <v>2659.7</v>
      </c>
      <c r="D2243" s="1">
        <v>0</v>
      </c>
    </row>
    <row r="2244" spans="1:4" x14ac:dyDescent="0.25">
      <c r="A2244" s="2">
        <v>39022</v>
      </c>
      <c r="B2244" s="1" t="s">
        <v>14</v>
      </c>
      <c r="C2244" s="1">
        <v>2659.7</v>
      </c>
      <c r="D2244" s="1">
        <v>0</v>
      </c>
    </row>
    <row r="2245" spans="1:4" x14ac:dyDescent="0.25">
      <c r="A2245" s="2">
        <v>39052</v>
      </c>
      <c r="B2245" s="1" t="s">
        <v>14</v>
      </c>
      <c r="C2245" s="1">
        <v>2663.7</v>
      </c>
      <c r="D2245" s="1">
        <v>0</v>
      </c>
    </row>
    <row r="2246" spans="1:4" x14ac:dyDescent="0.25">
      <c r="A2246" s="2">
        <v>39083</v>
      </c>
      <c r="B2246" s="1" t="s">
        <v>14</v>
      </c>
      <c r="C2246" s="1">
        <v>2665.3</v>
      </c>
      <c r="D2246" s="1">
        <v>0</v>
      </c>
    </row>
    <row r="2247" spans="1:4" x14ac:dyDescent="0.25">
      <c r="A2247" s="2">
        <v>39114</v>
      </c>
      <c r="B2247" s="1" t="s">
        <v>14</v>
      </c>
      <c r="C2247" s="1">
        <v>2673.7</v>
      </c>
      <c r="D2247" s="1">
        <v>0</v>
      </c>
    </row>
    <row r="2248" spans="1:4" x14ac:dyDescent="0.25">
      <c r="A2248" s="2">
        <v>39142</v>
      </c>
      <c r="B2248" s="1" t="s">
        <v>14</v>
      </c>
      <c r="C2248" s="1">
        <v>2681</v>
      </c>
      <c r="D2248" s="1">
        <v>0</v>
      </c>
    </row>
    <row r="2249" spans="1:4" x14ac:dyDescent="0.25">
      <c r="A2249" s="2">
        <v>39173</v>
      </c>
      <c r="B2249" s="1" t="s">
        <v>14</v>
      </c>
      <c r="C2249" s="1">
        <v>2674.1</v>
      </c>
      <c r="D2249" s="1">
        <v>0</v>
      </c>
    </row>
    <row r="2250" spans="1:4" x14ac:dyDescent="0.25">
      <c r="A2250" s="2">
        <v>39203</v>
      </c>
      <c r="B2250" s="1" t="s">
        <v>14</v>
      </c>
      <c r="C2250" s="1">
        <v>2674.8</v>
      </c>
      <c r="D2250" s="1">
        <v>0</v>
      </c>
    </row>
    <row r="2251" spans="1:4" x14ac:dyDescent="0.25">
      <c r="A2251" s="2">
        <v>39234</v>
      </c>
      <c r="B2251" s="1" t="s">
        <v>14</v>
      </c>
      <c r="C2251" s="1">
        <v>2684.2</v>
      </c>
      <c r="D2251" s="1">
        <v>0</v>
      </c>
    </row>
    <row r="2252" spans="1:4" x14ac:dyDescent="0.25">
      <c r="A2252" s="2">
        <v>39264</v>
      </c>
      <c r="B2252" s="1" t="s">
        <v>14</v>
      </c>
      <c r="C2252" s="1">
        <v>2684.1</v>
      </c>
      <c r="D2252" s="1">
        <v>0</v>
      </c>
    </row>
    <row r="2253" spans="1:4" x14ac:dyDescent="0.25">
      <c r="A2253" s="2">
        <v>39295</v>
      </c>
      <c r="B2253" s="1" t="s">
        <v>14</v>
      </c>
      <c r="C2253" s="1">
        <v>2683.1</v>
      </c>
      <c r="D2253" s="1">
        <v>0</v>
      </c>
    </row>
    <row r="2254" spans="1:4" x14ac:dyDescent="0.25">
      <c r="A2254" s="2">
        <v>39326</v>
      </c>
      <c r="B2254" s="1" t="s">
        <v>14</v>
      </c>
      <c r="C2254" s="1">
        <v>2683.6</v>
      </c>
      <c r="D2254" s="1">
        <v>0</v>
      </c>
    </row>
    <row r="2255" spans="1:4" x14ac:dyDescent="0.25">
      <c r="A2255" s="2">
        <v>39356</v>
      </c>
      <c r="B2255" s="1" t="s">
        <v>14</v>
      </c>
      <c r="C2255" s="1">
        <v>2687.1</v>
      </c>
      <c r="D2255" s="1">
        <v>0</v>
      </c>
    </row>
    <row r="2256" spans="1:4" x14ac:dyDescent="0.25">
      <c r="A2256" s="2">
        <v>39387</v>
      </c>
      <c r="B2256" s="1" t="s">
        <v>14</v>
      </c>
      <c r="C2256" s="1">
        <v>2685.2</v>
      </c>
      <c r="D2256" s="1">
        <v>0</v>
      </c>
    </row>
    <row r="2257" spans="1:4" x14ac:dyDescent="0.25">
      <c r="A2257" s="2">
        <v>39417</v>
      </c>
      <c r="B2257" s="1" t="s">
        <v>14</v>
      </c>
      <c r="C2257" s="1">
        <v>2680</v>
      </c>
      <c r="D2257" s="1">
        <v>0</v>
      </c>
    </row>
    <row r="2258" spans="1:4" x14ac:dyDescent="0.25">
      <c r="A2258" s="2">
        <v>39448</v>
      </c>
      <c r="B2258" s="1" t="s">
        <v>14</v>
      </c>
      <c r="C2258" s="1">
        <v>2678.5</v>
      </c>
      <c r="D2258" s="1">
        <v>0</v>
      </c>
    </row>
    <row r="2259" spans="1:4" x14ac:dyDescent="0.25">
      <c r="A2259" s="2">
        <v>39479</v>
      </c>
      <c r="B2259" s="1" t="s">
        <v>14</v>
      </c>
      <c r="C2259" s="1">
        <v>2672.2</v>
      </c>
      <c r="D2259" s="1">
        <v>0</v>
      </c>
    </row>
    <row r="2260" spans="1:4" x14ac:dyDescent="0.25">
      <c r="A2260" s="2">
        <v>39508</v>
      </c>
      <c r="B2260" s="1" t="s">
        <v>14</v>
      </c>
      <c r="C2260" s="1">
        <v>2661.2</v>
      </c>
      <c r="D2260" s="1">
        <v>0</v>
      </c>
    </row>
    <row r="2261" spans="1:4" x14ac:dyDescent="0.25">
      <c r="A2261" s="2">
        <v>39539</v>
      </c>
      <c r="B2261" s="1" t="s">
        <v>14</v>
      </c>
      <c r="C2261" s="1">
        <v>2653.2</v>
      </c>
      <c r="D2261" s="1">
        <v>0</v>
      </c>
    </row>
    <row r="2262" spans="1:4" x14ac:dyDescent="0.25">
      <c r="A2262" s="2">
        <v>39569</v>
      </c>
      <c r="B2262" s="1" t="s">
        <v>14</v>
      </c>
      <c r="C2262" s="1">
        <v>2645.2</v>
      </c>
      <c r="D2262" s="1">
        <v>0</v>
      </c>
    </row>
    <row r="2263" spans="1:4" x14ac:dyDescent="0.25">
      <c r="A2263" s="2">
        <v>39600</v>
      </c>
      <c r="B2263" s="1" t="s">
        <v>14</v>
      </c>
      <c r="C2263" s="1">
        <v>2635.8</v>
      </c>
      <c r="D2263" s="1">
        <v>0</v>
      </c>
    </row>
    <row r="2264" spans="1:4" x14ac:dyDescent="0.25">
      <c r="A2264" s="2">
        <v>39630</v>
      </c>
      <c r="B2264" s="1" t="s">
        <v>14</v>
      </c>
      <c r="C2264" s="1">
        <v>2619.6999999999998</v>
      </c>
      <c r="D2264" s="1">
        <v>0</v>
      </c>
    </row>
    <row r="2265" spans="1:4" x14ac:dyDescent="0.25">
      <c r="A2265" s="2">
        <v>39661</v>
      </c>
      <c r="B2265" s="1" t="s">
        <v>14</v>
      </c>
      <c r="C2265" s="1">
        <v>2617</v>
      </c>
      <c r="D2265" s="1">
        <v>0</v>
      </c>
    </row>
    <row r="2266" spans="1:4" x14ac:dyDescent="0.25">
      <c r="A2266" s="2">
        <v>39692</v>
      </c>
      <c r="B2266" s="1" t="s">
        <v>14</v>
      </c>
      <c r="C2266" s="1">
        <v>2602.5</v>
      </c>
      <c r="D2266" s="1">
        <v>0</v>
      </c>
    </row>
    <row r="2267" spans="1:4" x14ac:dyDescent="0.25">
      <c r="A2267" s="2">
        <v>39722</v>
      </c>
      <c r="B2267" s="1" t="s">
        <v>14</v>
      </c>
      <c r="C2267" s="1">
        <v>2583.3000000000002</v>
      </c>
      <c r="D2267" s="1">
        <v>0</v>
      </c>
    </row>
    <row r="2268" spans="1:4" x14ac:dyDescent="0.25">
      <c r="A2268" s="2">
        <v>39753</v>
      </c>
      <c r="B2268" s="1" t="s">
        <v>14</v>
      </c>
      <c r="C2268" s="1">
        <v>2563.8000000000002</v>
      </c>
      <c r="D2268" s="1">
        <v>0</v>
      </c>
    </row>
    <row r="2269" spans="1:4" x14ac:dyDescent="0.25">
      <c r="A2269" s="2">
        <v>39783</v>
      </c>
      <c r="B2269" s="1" t="s">
        <v>14</v>
      </c>
      <c r="C2269" s="1">
        <v>2540.6999999999998</v>
      </c>
      <c r="D2269" s="1">
        <v>0</v>
      </c>
    </row>
    <row r="2270" spans="1:4" x14ac:dyDescent="0.25">
      <c r="A2270" s="2">
        <v>39814</v>
      </c>
      <c r="B2270" s="1" t="s">
        <v>14</v>
      </c>
      <c r="C2270" s="1">
        <v>2517.1999999999998</v>
      </c>
      <c r="D2270" s="1">
        <v>0</v>
      </c>
    </row>
    <row r="2271" spans="1:4" x14ac:dyDescent="0.25">
      <c r="A2271" s="2">
        <v>39845</v>
      </c>
      <c r="B2271" s="1" t="s">
        <v>14</v>
      </c>
      <c r="C2271" s="1">
        <v>2491.3000000000002</v>
      </c>
      <c r="D2271" s="1">
        <v>0</v>
      </c>
    </row>
    <row r="2272" spans="1:4" x14ac:dyDescent="0.25">
      <c r="A2272" s="2">
        <v>39873</v>
      </c>
      <c r="B2272" s="1" t="s">
        <v>14</v>
      </c>
      <c r="C2272" s="1">
        <v>2472.1999999999998</v>
      </c>
      <c r="D2272" s="1">
        <v>0</v>
      </c>
    </row>
    <row r="2273" spans="1:4" x14ac:dyDescent="0.25">
      <c r="A2273" s="2">
        <v>39904</v>
      </c>
      <c r="B2273" s="1" t="s">
        <v>14</v>
      </c>
      <c r="C2273" s="1">
        <v>2448</v>
      </c>
      <c r="D2273" s="1">
        <v>0</v>
      </c>
    </row>
    <row r="2274" spans="1:4" x14ac:dyDescent="0.25">
      <c r="A2274" s="2">
        <v>39934</v>
      </c>
      <c r="B2274" s="1" t="s">
        <v>14</v>
      </c>
      <c r="C2274" s="1">
        <v>2439.1</v>
      </c>
      <c r="D2274" s="1">
        <v>0</v>
      </c>
    </row>
    <row r="2275" spans="1:4" x14ac:dyDescent="0.25">
      <c r="A2275" s="2">
        <v>39965</v>
      </c>
      <c r="B2275" s="1" t="s">
        <v>14</v>
      </c>
      <c r="C2275" s="1">
        <v>2427</v>
      </c>
      <c r="D2275" s="1">
        <v>0</v>
      </c>
    </row>
    <row r="2276" spans="1:4" x14ac:dyDescent="0.25">
      <c r="A2276" s="2">
        <v>39995</v>
      </c>
      <c r="B2276" s="1" t="s">
        <v>14</v>
      </c>
      <c r="C2276" s="1">
        <v>2419.9</v>
      </c>
      <c r="D2276" s="1">
        <v>0</v>
      </c>
    </row>
    <row r="2277" spans="1:4" x14ac:dyDescent="0.25">
      <c r="A2277" s="2">
        <v>40026</v>
      </c>
      <c r="B2277" s="1" t="s">
        <v>14</v>
      </c>
      <c r="C2277" s="1">
        <v>2409.5</v>
      </c>
      <c r="D2277" s="1">
        <v>0</v>
      </c>
    </row>
    <row r="2278" spans="1:4" x14ac:dyDescent="0.25">
      <c r="A2278" s="2">
        <v>40057</v>
      </c>
      <c r="B2278" s="1" t="s">
        <v>14</v>
      </c>
      <c r="C2278" s="1">
        <v>2397.4</v>
      </c>
      <c r="D2278" s="1">
        <v>0</v>
      </c>
    </row>
    <row r="2279" spans="1:4" x14ac:dyDescent="0.25">
      <c r="A2279" s="2">
        <v>40087</v>
      </c>
      <c r="B2279" s="1" t="s">
        <v>14</v>
      </c>
      <c r="C2279" s="1">
        <v>2392.5</v>
      </c>
      <c r="D2279" s="1">
        <v>0</v>
      </c>
    </row>
    <row r="2280" spans="1:4" x14ac:dyDescent="0.25">
      <c r="A2280" s="2">
        <v>40118</v>
      </c>
      <c r="B2280" s="1" t="s">
        <v>14</v>
      </c>
      <c r="C2280" s="1">
        <v>2388.6</v>
      </c>
      <c r="D2280" s="1">
        <v>0</v>
      </c>
    </row>
    <row r="2281" spans="1:4" x14ac:dyDescent="0.25">
      <c r="A2281" s="2">
        <v>40148</v>
      </c>
      <c r="B2281" s="1" t="s">
        <v>14</v>
      </c>
      <c r="C2281" s="1">
        <v>2382.4</v>
      </c>
      <c r="D2281" s="1">
        <v>0</v>
      </c>
    </row>
    <row r="2282" spans="1:4" x14ac:dyDescent="0.25">
      <c r="A2282" s="2">
        <v>40179</v>
      </c>
      <c r="B2282" s="1" t="s">
        <v>14</v>
      </c>
      <c r="C2282" s="1">
        <v>2382</v>
      </c>
      <c r="D2282" s="1">
        <v>0</v>
      </c>
    </row>
    <row r="2283" spans="1:4" x14ac:dyDescent="0.25">
      <c r="A2283" s="2">
        <v>40210</v>
      </c>
      <c r="B2283" s="1" t="s">
        <v>14</v>
      </c>
      <c r="C2283" s="1">
        <v>2381.9</v>
      </c>
      <c r="D2283" s="1">
        <v>0</v>
      </c>
    </row>
    <row r="2284" spans="1:4" x14ac:dyDescent="0.25">
      <c r="A2284" s="2">
        <v>40238</v>
      </c>
      <c r="B2284" s="1" t="s">
        <v>14</v>
      </c>
      <c r="C2284" s="1">
        <v>2384.1</v>
      </c>
      <c r="D2284" s="1">
        <v>0</v>
      </c>
    </row>
    <row r="2285" spans="1:4" x14ac:dyDescent="0.25">
      <c r="A2285" s="2">
        <v>40269</v>
      </c>
      <c r="B2285" s="1" t="s">
        <v>14</v>
      </c>
      <c r="C2285" s="1">
        <v>2385.8000000000002</v>
      </c>
      <c r="D2285" s="1">
        <v>0</v>
      </c>
    </row>
    <row r="2286" spans="1:4" x14ac:dyDescent="0.25">
      <c r="A2286" s="2">
        <v>40299</v>
      </c>
      <c r="B2286" s="1" t="s">
        <v>14</v>
      </c>
      <c r="C2286" s="1">
        <v>2400.3000000000002</v>
      </c>
      <c r="D2286" s="1">
        <v>0</v>
      </c>
    </row>
    <row r="2287" spans="1:4" x14ac:dyDescent="0.25">
      <c r="A2287" s="2">
        <v>40330</v>
      </c>
      <c r="B2287" s="1" t="s">
        <v>14</v>
      </c>
      <c r="C2287" s="1">
        <v>2389.4</v>
      </c>
      <c r="D2287" s="1">
        <v>0</v>
      </c>
    </row>
    <row r="2288" spans="1:4" x14ac:dyDescent="0.25">
      <c r="A2288" s="2">
        <v>40360</v>
      </c>
      <c r="B2288" s="1" t="s">
        <v>14</v>
      </c>
      <c r="C2288" s="1">
        <v>2384.6</v>
      </c>
      <c r="D2288" s="1">
        <v>0</v>
      </c>
    </row>
    <row r="2289" spans="1:4" x14ac:dyDescent="0.25">
      <c r="A2289" s="2">
        <v>40391</v>
      </c>
      <c r="B2289" s="1" t="s">
        <v>14</v>
      </c>
      <c r="C2289" s="1">
        <v>2380.3000000000002</v>
      </c>
      <c r="D2289" s="1">
        <v>0</v>
      </c>
    </row>
    <row r="2290" spans="1:4" x14ac:dyDescent="0.25">
      <c r="A2290" s="2">
        <v>40422</v>
      </c>
      <c r="B2290" s="1" t="s">
        <v>14</v>
      </c>
      <c r="C2290" s="1">
        <v>2374.5</v>
      </c>
      <c r="D2290" s="1">
        <v>0</v>
      </c>
    </row>
    <row r="2291" spans="1:4" x14ac:dyDescent="0.25">
      <c r="A2291" s="2">
        <v>40452</v>
      </c>
      <c r="B2291" s="1" t="s">
        <v>14</v>
      </c>
      <c r="C2291" s="1">
        <v>2386.6</v>
      </c>
      <c r="D2291" s="1">
        <v>0</v>
      </c>
    </row>
    <row r="2292" spans="1:4" x14ac:dyDescent="0.25">
      <c r="A2292" s="2">
        <v>40483</v>
      </c>
      <c r="B2292" s="1" t="s">
        <v>14</v>
      </c>
      <c r="C2292" s="1">
        <v>2389.8000000000002</v>
      </c>
      <c r="D2292" s="1">
        <v>0</v>
      </c>
    </row>
    <row r="2293" spans="1:4" x14ac:dyDescent="0.25">
      <c r="A2293" s="2">
        <v>40513</v>
      </c>
      <c r="B2293" s="1" t="s">
        <v>14</v>
      </c>
      <c r="C2293" s="1">
        <v>2393.5</v>
      </c>
      <c r="D2293" s="1">
        <v>0</v>
      </c>
    </row>
    <row r="2294" spans="1:4" x14ac:dyDescent="0.25">
      <c r="A2294" s="2">
        <v>40544</v>
      </c>
      <c r="B2294" s="1" t="s">
        <v>14</v>
      </c>
      <c r="C2294" s="1">
        <v>2398.9</v>
      </c>
      <c r="D2294" s="1">
        <v>0</v>
      </c>
    </row>
    <row r="2295" spans="1:4" x14ac:dyDescent="0.25">
      <c r="A2295" s="2">
        <v>40575</v>
      </c>
      <c r="B2295" s="1" t="s">
        <v>14</v>
      </c>
      <c r="C2295" s="1">
        <v>2399</v>
      </c>
      <c r="D2295" s="1">
        <v>0</v>
      </c>
    </row>
    <row r="2296" spans="1:4" x14ac:dyDescent="0.25">
      <c r="A2296" s="2">
        <v>40603</v>
      </c>
      <c r="B2296" s="1" t="s">
        <v>14</v>
      </c>
      <c r="C2296" s="1">
        <v>2402</v>
      </c>
      <c r="D2296" s="1">
        <v>0</v>
      </c>
    </row>
    <row r="2297" spans="1:4" x14ac:dyDescent="0.25">
      <c r="A2297" s="2">
        <v>40634</v>
      </c>
      <c r="B2297" s="1" t="s">
        <v>14</v>
      </c>
      <c r="C2297" s="1">
        <v>2404.5</v>
      </c>
      <c r="D2297" s="1">
        <v>0</v>
      </c>
    </row>
    <row r="2298" spans="1:4" x14ac:dyDescent="0.25">
      <c r="A2298" s="2">
        <v>40664</v>
      </c>
      <c r="B2298" s="1" t="s">
        <v>14</v>
      </c>
      <c r="C2298" s="1">
        <v>2412.1</v>
      </c>
      <c r="D2298" s="1">
        <v>0</v>
      </c>
    </row>
    <row r="2299" spans="1:4" x14ac:dyDescent="0.25">
      <c r="A2299" s="2">
        <v>40695</v>
      </c>
      <c r="B2299" s="1" t="s">
        <v>14</v>
      </c>
      <c r="C2299" s="1">
        <v>2401</v>
      </c>
      <c r="D2299" s="1">
        <v>0</v>
      </c>
    </row>
    <row r="2300" spans="1:4" x14ac:dyDescent="0.25">
      <c r="A2300" s="2">
        <v>40725</v>
      </c>
      <c r="B2300" s="1" t="s">
        <v>14</v>
      </c>
      <c r="C2300" s="1">
        <v>2399.3000000000002</v>
      </c>
      <c r="D2300" s="1">
        <v>0</v>
      </c>
    </row>
    <row r="2301" spans="1:4" x14ac:dyDescent="0.25">
      <c r="A2301" s="2">
        <v>40756</v>
      </c>
      <c r="B2301" s="1" t="s">
        <v>14</v>
      </c>
      <c r="C2301" s="1">
        <v>2417.6</v>
      </c>
      <c r="D2301" s="1">
        <v>0</v>
      </c>
    </row>
    <row r="2302" spans="1:4" x14ac:dyDescent="0.25">
      <c r="A2302" s="2">
        <v>40787</v>
      </c>
      <c r="B2302" s="1" t="s">
        <v>14</v>
      </c>
      <c r="C2302" s="1">
        <v>2424.1999999999998</v>
      </c>
      <c r="D2302" s="1">
        <v>0</v>
      </c>
    </row>
    <row r="2303" spans="1:4" x14ac:dyDescent="0.25">
      <c r="A2303" s="2">
        <v>40817</v>
      </c>
      <c r="B2303" s="1" t="s">
        <v>14</v>
      </c>
      <c r="C2303" s="1">
        <v>2426.5</v>
      </c>
      <c r="D2303" s="1">
        <v>0</v>
      </c>
    </row>
    <row r="2304" spans="1:4" x14ac:dyDescent="0.25">
      <c r="A2304" s="2">
        <v>40848</v>
      </c>
      <c r="B2304" s="1" t="s">
        <v>14</v>
      </c>
      <c r="C2304" s="1">
        <v>2431.5</v>
      </c>
      <c r="D2304" s="1">
        <v>0</v>
      </c>
    </row>
    <row r="2305" spans="1:4" x14ac:dyDescent="0.25">
      <c r="A2305" s="2">
        <v>40878</v>
      </c>
      <c r="B2305" s="1" t="s">
        <v>14</v>
      </c>
      <c r="C2305" s="1">
        <v>2431.4</v>
      </c>
      <c r="D2305" s="1">
        <v>0</v>
      </c>
    </row>
    <row r="2306" spans="1:4" x14ac:dyDescent="0.25">
      <c r="A2306" s="2">
        <v>40909</v>
      </c>
      <c r="B2306" s="1" t="s">
        <v>14</v>
      </c>
      <c r="C2306" s="1">
        <v>2443</v>
      </c>
      <c r="D2306" s="1">
        <v>0</v>
      </c>
    </row>
    <row r="2307" spans="1:4" x14ac:dyDescent="0.25">
      <c r="A2307" s="2">
        <v>40940</v>
      </c>
      <c r="B2307" s="1" t="s">
        <v>14</v>
      </c>
      <c r="C2307" s="1">
        <v>2444.3000000000002</v>
      </c>
      <c r="D2307" s="1">
        <v>0</v>
      </c>
    </row>
    <row r="2308" spans="1:4" x14ac:dyDescent="0.25">
      <c r="A2308" s="2">
        <v>40969</v>
      </c>
      <c r="B2308" s="1" t="s">
        <v>14</v>
      </c>
      <c r="C2308" s="1">
        <v>2452.3000000000002</v>
      </c>
      <c r="D2308" s="1">
        <v>0</v>
      </c>
    </row>
    <row r="2309" spans="1:4" x14ac:dyDescent="0.25">
      <c r="A2309" s="2">
        <v>41000</v>
      </c>
      <c r="B2309" s="1" t="s">
        <v>14</v>
      </c>
      <c r="C2309" s="1">
        <v>2454.1</v>
      </c>
      <c r="D2309" s="1">
        <v>0</v>
      </c>
    </row>
    <row r="2310" spans="1:4" x14ac:dyDescent="0.25">
      <c r="A2310" s="2">
        <v>41030</v>
      </c>
      <c r="B2310" s="1" t="s">
        <v>14</v>
      </c>
      <c r="C2310" s="1">
        <v>2449.1999999999998</v>
      </c>
      <c r="D2310" s="1">
        <v>0</v>
      </c>
    </row>
    <row r="2311" spans="1:4" x14ac:dyDescent="0.25">
      <c r="A2311" s="2">
        <v>41061</v>
      </c>
      <c r="B2311" s="1" t="s">
        <v>14</v>
      </c>
      <c r="C2311" s="1">
        <v>2462.6999999999998</v>
      </c>
      <c r="D2311" s="1">
        <v>0</v>
      </c>
    </row>
    <row r="2312" spans="1:4" x14ac:dyDescent="0.25">
      <c r="A2312" s="2">
        <v>41091</v>
      </c>
      <c r="B2312" s="1" t="s">
        <v>14</v>
      </c>
      <c r="C2312" s="1">
        <v>2452.9</v>
      </c>
      <c r="D2312" s="1">
        <v>0</v>
      </c>
    </row>
    <row r="2313" spans="1:4" x14ac:dyDescent="0.25">
      <c r="A2313" s="2">
        <v>41122</v>
      </c>
      <c r="B2313" s="1" t="s">
        <v>14</v>
      </c>
      <c r="C2313" s="1">
        <v>2467.6</v>
      </c>
      <c r="D2313" s="1">
        <v>0</v>
      </c>
    </row>
    <row r="2314" spans="1:4" x14ac:dyDescent="0.25">
      <c r="A2314" s="2">
        <v>41153</v>
      </c>
      <c r="B2314" s="1" t="s">
        <v>14</v>
      </c>
      <c r="C2314" s="1">
        <v>2474.1999999999998</v>
      </c>
      <c r="D2314" s="1">
        <v>0</v>
      </c>
    </row>
    <row r="2315" spans="1:4" x14ac:dyDescent="0.25">
      <c r="A2315" s="2">
        <v>41183</v>
      </c>
      <c r="B2315" s="1" t="s">
        <v>14</v>
      </c>
      <c r="C2315" s="1">
        <v>2480.4</v>
      </c>
      <c r="D2315" s="1">
        <v>0</v>
      </c>
    </row>
    <row r="2316" spans="1:4" x14ac:dyDescent="0.25">
      <c r="A2316" s="2">
        <v>41214</v>
      </c>
      <c r="B2316" s="1" t="s">
        <v>14</v>
      </c>
      <c r="C2316" s="1">
        <v>2487.1999999999998</v>
      </c>
      <c r="D2316" s="1">
        <v>0</v>
      </c>
    </row>
    <row r="2317" spans="1:4" x14ac:dyDescent="0.25">
      <c r="A2317" s="2">
        <v>41244</v>
      </c>
      <c r="B2317" s="1" t="s">
        <v>14</v>
      </c>
      <c r="C2317" s="1">
        <v>2491</v>
      </c>
      <c r="D2317" s="1">
        <v>0</v>
      </c>
    </row>
    <row r="2318" spans="1:4" x14ac:dyDescent="0.25">
      <c r="A2318" s="2">
        <v>41275</v>
      </c>
      <c r="B2318" s="1" t="s">
        <v>14</v>
      </c>
      <c r="C2318" s="1">
        <v>2495.1</v>
      </c>
      <c r="D2318" s="1">
        <v>0</v>
      </c>
    </row>
    <row r="2319" spans="1:4" x14ac:dyDescent="0.25">
      <c r="A2319" s="2">
        <v>41306</v>
      </c>
      <c r="B2319" s="1" t="s">
        <v>14</v>
      </c>
      <c r="C2319" s="1">
        <v>2500.1</v>
      </c>
      <c r="D2319" s="1">
        <v>0</v>
      </c>
    </row>
    <row r="2320" spans="1:4" x14ac:dyDescent="0.25">
      <c r="A2320" s="2">
        <v>41334</v>
      </c>
      <c r="B2320" s="1" t="s">
        <v>14</v>
      </c>
      <c r="C2320" s="1">
        <v>2503.1</v>
      </c>
      <c r="D2320" s="1">
        <v>0</v>
      </c>
    </row>
    <row r="2321" spans="1:4" x14ac:dyDescent="0.25">
      <c r="A2321" s="2">
        <v>41365</v>
      </c>
      <c r="B2321" s="1" t="s">
        <v>14</v>
      </c>
      <c r="C2321" s="1">
        <v>2509.6999999999998</v>
      </c>
      <c r="D2321" s="1">
        <v>0</v>
      </c>
    </row>
    <row r="2322" spans="1:4" x14ac:dyDescent="0.25">
      <c r="A2322" s="2">
        <v>41395</v>
      </c>
      <c r="B2322" s="1" t="s">
        <v>14</v>
      </c>
      <c r="C2322" s="1">
        <v>2511.1999999999998</v>
      </c>
      <c r="D2322" s="1">
        <v>0</v>
      </c>
    </row>
    <row r="2323" spans="1:4" x14ac:dyDescent="0.25">
      <c r="A2323" s="2">
        <v>41426</v>
      </c>
      <c r="B2323" s="1" t="s">
        <v>14</v>
      </c>
      <c r="C2323" s="1">
        <v>2512.3000000000002</v>
      </c>
      <c r="D2323" s="1">
        <v>0</v>
      </c>
    </row>
    <row r="2324" spans="1:4" x14ac:dyDescent="0.25">
      <c r="A2324" s="2">
        <v>41456</v>
      </c>
      <c r="B2324" s="1" t="s">
        <v>14</v>
      </c>
      <c r="C2324" s="1">
        <v>2512.6</v>
      </c>
      <c r="D2324" s="1">
        <v>0</v>
      </c>
    </row>
    <row r="2325" spans="1:4" x14ac:dyDescent="0.25">
      <c r="A2325" s="2">
        <v>41487</v>
      </c>
      <c r="B2325" s="1" t="s">
        <v>14</v>
      </c>
      <c r="C2325" s="1">
        <v>2518.3000000000002</v>
      </c>
      <c r="D2325" s="1">
        <v>0</v>
      </c>
    </row>
    <row r="2326" spans="1:4" x14ac:dyDescent="0.25">
      <c r="A2326" s="2">
        <v>41518</v>
      </c>
      <c r="B2326" s="1" t="s">
        <v>14</v>
      </c>
      <c r="C2326" s="1">
        <v>2525.6</v>
      </c>
      <c r="D2326" s="1">
        <v>0</v>
      </c>
    </row>
    <row r="2327" spans="1:4" x14ac:dyDescent="0.25">
      <c r="A2327" s="2">
        <v>41548</v>
      </c>
      <c r="B2327" s="1" t="s">
        <v>14</v>
      </c>
      <c r="C2327" s="1">
        <v>2526.3000000000002</v>
      </c>
      <c r="D2327" s="1">
        <v>0</v>
      </c>
    </row>
    <row r="2328" spans="1:4" x14ac:dyDescent="0.25">
      <c r="A2328" s="2">
        <v>41579</v>
      </c>
      <c r="B2328" s="1" t="s">
        <v>14</v>
      </c>
      <c r="C2328" s="1">
        <v>2534.1999999999998</v>
      </c>
      <c r="D2328" s="1">
        <v>0</v>
      </c>
    </row>
    <row r="2329" spans="1:4" x14ac:dyDescent="0.25">
      <c r="A2329" s="2">
        <v>41609</v>
      </c>
      <c r="B2329" s="1" t="s">
        <v>14</v>
      </c>
      <c r="C2329" s="1">
        <v>2542.3000000000002</v>
      </c>
      <c r="D2329" s="1">
        <v>0</v>
      </c>
    </row>
    <row r="2330" spans="1:4" x14ac:dyDescent="0.25">
      <c r="A2330" s="2">
        <v>41640</v>
      </c>
      <c r="B2330" s="1" t="s">
        <v>14</v>
      </c>
      <c r="C2330" s="1">
        <v>2553.1999999999998</v>
      </c>
      <c r="D2330" s="1">
        <v>0</v>
      </c>
    </row>
    <row r="2331" spans="1:4" x14ac:dyDescent="0.25">
      <c r="A2331" s="2">
        <v>41671</v>
      </c>
      <c r="B2331" s="1" t="s">
        <v>14</v>
      </c>
      <c r="C2331" s="1">
        <v>2544.6999999999998</v>
      </c>
      <c r="D2331" s="1">
        <v>0</v>
      </c>
    </row>
    <row r="2332" spans="1:4" x14ac:dyDescent="0.25">
      <c r="A2332" s="2">
        <v>41699</v>
      </c>
      <c r="B2332" s="1" t="s">
        <v>14</v>
      </c>
      <c r="C2332" s="1">
        <v>2550.5</v>
      </c>
      <c r="D2332" s="1">
        <v>0</v>
      </c>
    </row>
    <row r="2333" spans="1:4" x14ac:dyDescent="0.25">
      <c r="A2333" s="2">
        <v>41730</v>
      </c>
      <c r="B2333" s="1" t="s">
        <v>14</v>
      </c>
      <c r="C2333" s="1">
        <v>2549.6999999999998</v>
      </c>
      <c r="D2333" s="1">
        <v>0</v>
      </c>
    </row>
    <row r="2334" spans="1:4" x14ac:dyDescent="0.25">
      <c r="A2334" s="2">
        <v>41760</v>
      </c>
      <c r="B2334" s="1" t="s">
        <v>14</v>
      </c>
      <c r="C2334" s="1">
        <v>2540.4</v>
      </c>
      <c r="D2334" s="1">
        <v>0</v>
      </c>
    </row>
    <row r="2335" spans="1:4" x14ac:dyDescent="0.25">
      <c r="A2335" s="2">
        <v>41791</v>
      </c>
      <c r="B2335" s="1" t="s">
        <v>14</v>
      </c>
      <c r="C2335" s="1">
        <v>2558.6</v>
      </c>
      <c r="D2335" s="1">
        <v>0</v>
      </c>
    </row>
    <row r="2336" spans="1:4" x14ac:dyDescent="0.25">
      <c r="A2336" s="2">
        <v>41821</v>
      </c>
      <c r="B2336" s="1" t="s">
        <v>14</v>
      </c>
      <c r="C2336" s="1">
        <v>2575</v>
      </c>
      <c r="D2336" s="1">
        <v>0</v>
      </c>
    </row>
    <row r="2337" spans="1:4" x14ac:dyDescent="0.25">
      <c r="A2337" s="2">
        <v>41852</v>
      </c>
      <c r="B2337" s="1" t="s">
        <v>14</v>
      </c>
      <c r="C2337" s="1">
        <v>2570.9</v>
      </c>
      <c r="D2337" s="1">
        <v>0</v>
      </c>
    </row>
    <row r="2338" spans="1:4" x14ac:dyDescent="0.25">
      <c r="A2338" s="2">
        <v>41883</v>
      </c>
      <c r="B2338" s="1" t="s">
        <v>14</v>
      </c>
      <c r="C2338" s="1">
        <v>2577.8000000000002</v>
      </c>
      <c r="D2338" s="1">
        <v>0</v>
      </c>
    </row>
    <row r="2339" spans="1:4" x14ac:dyDescent="0.25">
      <c r="A2339" s="2">
        <v>41913</v>
      </c>
      <c r="B2339" s="1" t="s">
        <v>14</v>
      </c>
      <c r="C2339" s="1">
        <v>2591.6999999999998</v>
      </c>
      <c r="D2339" s="1">
        <v>0</v>
      </c>
    </row>
    <row r="2340" spans="1:4" x14ac:dyDescent="0.25">
      <c r="A2340" s="2">
        <v>41944</v>
      </c>
      <c r="B2340" s="1" t="s">
        <v>14</v>
      </c>
      <c r="C2340" s="1">
        <v>2599.4</v>
      </c>
      <c r="D2340" s="1">
        <v>0</v>
      </c>
    </row>
    <row r="2341" spans="1:4" x14ac:dyDescent="0.25">
      <c r="A2341" s="2">
        <v>41974</v>
      </c>
      <c r="B2341" s="1" t="s">
        <v>14</v>
      </c>
      <c r="C2341" s="1">
        <v>2605.4</v>
      </c>
      <c r="D2341" s="1">
        <v>0</v>
      </c>
    </row>
    <row r="2342" spans="1:4" x14ac:dyDescent="0.25">
      <c r="A2342" s="2">
        <v>36526</v>
      </c>
      <c r="B2342" s="1" t="s">
        <v>15</v>
      </c>
      <c r="C2342" s="1">
        <v>377.5</v>
      </c>
      <c r="D2342" s="1">
        <v>0</v>
      </c>
    </row>
    <row r="2343" spans="1:4" x14ac:dyDescent="0.25">
      <c r="A2343" s="2">
        <v>36557</v>
      </c>
      <c r="B2343" s="1" t="s">
        <v>15</v>
      </c>
      <c r="C2343" s="1">
        <v>378.3</v>
      </c>
      <c r="D2343" s="1">
        <v>0</v>
      </c>
    </row>
    <row r="2344" spans="1:4" x14ac:dyDescent="0.25">
      <c r="A2344" s="2">
        <v>36586</v>
      </c>
      <c r="B2344" s="1" t="s">
        <v>15</v>
      </c>
      <c r="C2344" s="1">
        <v>380.4</v>
      </c>
      <c r="D2344" s="1">
        <v>0</v>
      </c>
    </row>
    <row r="2345" spans="1:4" x14ac:dyDescent="0.25">
      <c r="A2345" s="2">
        <v>36617</v>
      </c>
      <c r="B2345" s="1" t="s">
        <v>15</v>
      </c>
      <c r="C2345" s="1">
        <v>379.7</v>
      </c>
      <c r="D2345" s="1">
        <v>0</v>
      </c>
    </row>
    <row r="2346" spans="1:4" x14ac:dyDescent="0.25">
      <c r="A2346" s="2">
        <v>36647</v>
      </c>
      <c r="B2346" s="1" t="s">
        <v>15</v>
      </c>
      <c r="C2346" s="1">
        <v>378.1</v>
      </c>
      <c r="D2346" s="1">
        <v>0</v>
      </c>
    </row>
    <row r="2347" spans="1:4" x14ac:dyDescent="0.25">
      <c r="A2347" s="2">
        <v>36678</v>
      </c>
      <c r="B2347" s="1" t="s">
        <v>15</v>
      </c>
      <c r="C2347" s="1">
        <v>377.4</v>
      </c>
      <c r="D2347" s="1">
        <v>0</v>
      </c>
    </row>
    <row r="2348" spans="1:4" x14ac:dyDescent="0.25">
      <c r="A2348" s="2">
        <v>36708</v>
      </c>
      <c r="B2348" s="1" t="s">
        <v>15</v>
      </c>
      <c r="C2348" s="1">
        <v>376.3</v>
      </c>
      <c r="D2348" s="1">
        <v>0</v>
      </c>
    </row>
    <row r="2349" spans="1:4" x14ac:dyDescent="0.25">
      <c r="A2349" s="2">
        <v>36739</v>
      </c>
      <c r="B2349" s="1" t="s">
        <v>15</v>
      </c>
      <c r="C2349" s="1">
        <v>376.6</v>
      </c>
      <c r="D2349" s="1">
        <v>0</v>
      </c>
    </row>
    <row r="2350" spans="1:4" x14ac:dyDescent="0.25">
      <c r="A2350" s="2">
        <v>36770</v>
      </c>
      <c r="B2350" s="1" t="s">
        <v>15</v>
      </c>
      <c r="C2350" s="1">
        <v>377.2</v>
      </c>
      <c r="D2350" s="1">
        <v>0</v>
      </c>
    </row>
    <row r="2351" spans="1:4" x14ac:dyDescent="0.25">
      <c r="A2351" s="2">
        <v>36800</v>
      </c>
      <c r="B2351" s="1" t="s">
        <v>15</v>
      </c>
      <c r="C2351" s="1">
        <v>377.9</v>
      </c>
      <c r="D2351" s="1">
        <v>0</v>
      </c>
    </row>
    <row r="2352" spans="1:4" x14ac:dyDescent="0.25">
      <c r="A2352" s="2">
        <v>36831</v>
      </c>
      <c r="B2352" s="1" t="s">
        <v>15</v>
      </c>
      <c r="C2352" s="1">
        <v>377.7</v>
      </c>
      <c r="D2352" s="1">
        <v>0</v>
      </c>
    </row>
    <row r="2353" spans="1:4" x14ac:dyDescent="0.25">
      <c r="A2353" s="2">
        <v>36861</v>
      </c>
      <c r="B2353" s="1" t="s">
        <v>15</v>
      </c>
      <c r="C2353" s="1">
        <v>377.5</v>
      </c>
      <c r="D2353" s="1">
        <v>0</v>
      </c>
    </row>
    <row r="2354" spans="1:4" x14ac:dyDescent="0.25">
      <c r="A2354" s="2">
        <v>36892</v>
      </c>
      <c r="B2354" s="1" t="s">
        <v>15</v>
      </c>
      <c r="C2354" s="1">
        <v>379.5</v>
      </c>
      <c r="D2354" s="1">
        <v>0</v>
      </c>
    </row>
    <row r="2355" spans="1:4" x14ac:dyDescent="0.25">
      <c r="A2355" s="2">
        <v>36923</v>
      </c>
      <c r="B2355" s="1" t="s">
        <v>15</v>
      </c>
      <c r="C2355" s="1">
        <v>380.3</v>
      </c>
      <c r="D2355" s="1">
        <v>0</v>
      </c>
    </row>
    <row r="2356" spans="1:4" x14ac:dyDescent="0.25">
      <c r="A2356" s="2">
        <v>36951</v>
      </c>
      <c r="B2356" s="1" t="s">
        <v>15</v>
      </c>
      <c r="C2356" s="1">
        <v>380</v>
      </c>
      <c r="D2356" s="1">
        <v>0</v>
      </c>
    </row>
    <row r="2357" spans="1:4" x14ac:dyDescent="0.25">
      <c r="A2357" s="2">
        <v>36982</v>
      </c>
      <c r="B2357" s="1" t="s">
        <v>15</v>
      </c>
      <c r="C2357" s="1">
        <v>379.1</v>
      </c>
      <c r="D2357" s="1">
        <v>0</v>
      </c>
    </row>
    <row r="2358" spans="1:4" x14ac:dyDescent="0.25">
      <c r="A2358" s="2">
        <v>37012</v>
      </c>
      <c r="B2358" s="1" t="s">
        <v>15</v>
      </c>
      <c r="C2358" s="1">
        <v>379.7</v>
      </c>
      <c r="D2358" s="1">
        <v>0</v>
      </c>
    </row>
    <row r="2359" spans="1:4" x14ac:dyDescent="0.25">
      <c r="A2359" s="2">
        <v>37043</v>
      </c>
      <c r="B2359" s="1" t="s">
        <v>15</v>
      </c>
      <c r="C2359" s="1">
        <v>378.9</v>
      </c>
      <c r="D2359" s="1">
        <v>0</v>
      </c>
    </row>
    <row r="2360" spans="1:4" x14ac:dyDescent="0.25">
      <c r="A2360" s="2">
        <v>37073</v>
      </c>
      <c r="B2360" s="1" t="s">
        <v>15</v>
      </c>
      <c r="C2360" s="1">
        <v>378.5</v>
      </c>
      <c r="D2360" s="1">
        <v>0</v>
      </c>
    </row>
    <row r="2361" spans="1:4" x14ac:dyDescent="0.25">
      <c r="A2361" s="2">
        <v>37104</v>
      </c>
      <c r="B2361" s="1" t="s">
        <v>15</v>
      </c>
      <c r="C2361" s="1">
        <v>378.2</v>
      </c>
      <c r="D2361" s="1">
        <v>0</v>
      </c>
    </row>
    <row r="2362" spans="1:4" x14ac:dyDescent="0.25">
      <c r="A2362" s="2">
        <v>37135</v>
      </c>
      <c r="B2362" s="1" t="s">
        <v>15</v>
      </c>
      <c r="C2362" s="1">
        <v>377.6</v>
      </c>
      <c r="D2362" s="1">
        <v>0</v>
      </c>
    </row>
    <row r="2363" spans="1:4" x14ac:dyDescent="0.25">
      <c r="A2363" s="2">
        <v>37165</v>
      </c>
      <c r="B2363" s="1" t="s">
        <v>15</v>
      </c>
      <c r="C2363" s="1">
        <v>377.4</v>
      </c>
      <c r="D2363" s="1">
        <v>0</v>
      </c>
    </row>
    <row r="2364" spans="1:4" x14ac:dyDescent="0.25">
      <c r="A2364" s="2">
        <v>37196</v>
      </c>
      <c r="B2364" s="1" t="s">
        <v>15</v>
      </c>
      <c r="C2364" s="1">
        <v>377.6</v>
      </c>
      <c r="D2364" s="1">
        <v>0</v>
      </c>
    </row>
    <row r="2365" spans="1:4" x14ac:dyDescent="0.25">
      <c r="A2365" s="2">
        <v>37226</v>
      </c>
      <c r="B2365" s="1" t="s">
        <v>15</v>
      </c>
      <c r="C2365" s="1">
        <v>376.8</v>
      </c>
      <c r="D2365" s="1">
        <v>0</v>
      </c>
    </row>
    <row r="2366" spans="1:4" x14ac:dyDescent="0.25">
      <c r="A2366" s="2">
        <v>37257</v>
      </c>
      <c r="B2366" s="1" t="s">
        <v>15</v>
      </c>
      <c r="C2366" s="1">
        <v>376.1</v>
      </c>
      <c r="D2366" s="1">
        <v>0</v>
      </c>
    </row>
    <row r="2367" spans="1:4" x14ac:dyDescent="0.25">
      <c r="A2367" s="2">
        <v>37288</v>
      </c>
      <c r="B2367" s="1" t="s">
        <v>15</v>
      </c>
      <c r="C2367" s="1">
        <v>376.3</v>
      </c>
      <c r="D2367" s="1">
        <v>0</v>
      </c>
    </row>
    <row r="2368" spans="1:4" x14ac:dyDescent="0.25">
      <c r="A2368" s="2">
        <v>37316</v>
      </c>
      <c r="B2368" s="1" t="s">
        <v>15</v>
      </c>
      <c r="C2368" s="1">
        <v>375.8</v>
      </c>
      <c r="D2368" s="1">
        <v>0</v>
      </c>
    </row>
    <row r="2369" spans="1:4" x14ac:dyDescent="0.25">
      <c r="A2369" s="2">
        <v>37347</v>
      </c>
      <c r="B2369" s="1" t="s">
        <v>15</v>
      </c>
      <c r="C2369" s="1">
        <v>376.5</v>
      </c>
      <c r="D2369" s="1">
        <v>0</v>
      </c>
    </row>
    <row r="2370" spans="1:4" x14ac:dyDescent="0.25">
      <c r="A2370" s="2">
        <v>37377</v>
      </c>
      <c r="B2370" s="1" t="s">
        <v>15</v>
      </c>
      <c r="C2370" s="1">
        <v>377.5</v>
      </c>
      <c r="D2370" s="1">
        <v>0</v>
      </c>
    </row>
    <row r="2371" spans="1:4" x14ac:dyDescent="0.25">
      <c r="A2371" s="2">
        <v>37408</v>
      </c>
      <c r="B2371" s="1" t="s">
        <v>15</v>
      </c>
      <c r="C2371" s="1">
        <v>378.1</v>
      </c>
      <c r="D2371" s="1">
        <v>0</v>
      </c>
    </row>
    <row r="2372" spans="1:4" x14ac:dyDescent="0.25">
      <c r="A2372" s="2">
        <v>37438</v>
      </c>
      <c r="B2372" s="1" t="s">
        <v>15</v>
      </c>
      <c r="C2372" s="1">
        <v>378.2</v>
      </c>
      <c r="D2372" s="1">
        <v>0</v>
      </c>
    </row>
    <row r="2373" spans="1:4" x14ac:dyDescent="0.25">
      <c r="A2373" s="2">
        <v>37469</v>
      </c>
      <c r="B2373" s="1" t="s">
        <v>15</v>
      </c>
      <c r="C2373" s="1">
        <v>378.3</v>
      </c>
      <c r="D2373" s="1">
        <v>0</v>
      </c>
    </row>
    <row r="2374" spans="1:4" x14ac:dyDescent="0.25">
      <c r="A2374" s="2">
        <v>37500</v>
      </c>
      <c r="B2374" s="1" t="s">
        <v>15</v>
      </c>
      <c r="C2374" s="1">
        <v>378.4</v>
      </c>
      <c r="D2374" s="1">
        <v>0</v>
      </c>
    </row>
    <row r="2375" spans="1:4" x14ac:dyDescent="0.25">
      <c r="A2375" s="2">
        <v>37530</v>
      </c>
      <c r="B2375" s="1" t="s">
        <v>15</v>
      </c>
      <c r="C2375" s="1">
        <v>378.9</v>
      </c>
      <c r="D2375" s="1">
        <v>0</v>
      </c>
    </row>
    <row r="2376" spans="1:4" x14ac:dyDescent="0.25">
      <c r="A2376" s="2">
        <v>37561</v>
      </c>
      <c r="B2376" s="1" t="s">
        <v>15</v>
      </c>
      <c r="C2376" s="1">
        <v>378.4</v>
      </c>
      <c r="D2376" s="1">
        <v>0</v>
      </c>
    </row>
    <row r="2377" spans="1:4" x14ac:dyDescent="0.25">
      <c r="A2377" s="2">
        <v>37591</v>
      </c>
      <c r="B2377" s="1" t="s">
        <v>15</v>
      </c>
      <c r="C2377" s="1">
        <v>378.7</v>
      </c>
      <c r="D2377" s="1">
        <v>0</v>
      </c>
    </row>
    <row r="2378" spans="1:4" x14ac:dyDescent="0.25">
      <c r="A2378" s="2">
        <v>37622</v>
      </c>
      <c r="B2378" s="1" t="s">
        <v>15</v>
      </c>
      <c r="C2378" s="1">
        <v>378.6</v>
      </c>
      <c r="D2378" s="1">
        <v>0</v>
      </c>
    </row>
    <row r="2379" spans="1:4" x14ac:dyDescent="0.25">
      <c r="A2379" s="2">
        <v>37653</v>
      </c>
      <c r="B2379" s="1" t="s">
        <v>15</v>
      </c>
      <c r="C2379" s="1">
        <v>377.8</v>
      </c>
      <c r="D2379" s="1">
        <v>0</v>
      </c>
    </row>
    <row r="2380" spans="1:4" x14ac:dyDescent="0.25">
      <c r="A2380" s="2">
        <v>37681</v>
      </c>
      <c r="B2380" s="1" t="s">
        <v>15</v>
      </c>
      <c r="C2380" s="1">
        <v>377.4</v>
      </c>
      <c r="D2380" s="1">
        <v>0</v>
      </c>
    </row>
    <row r="2381" spans="1:4" x14ac:dyDescent="0.25">
      <c r="A2381" s="2">
        <v>37712</v>
      </c>
      <c r="B2381" s="1" t="s">
        <v>15</v>
      </c>
      <c r="C2381" s="1">
        <v>378</v>
      </c>
      <c r="D2381" s="1">
        <v>0</v>
      </c>
    </row>
    <row r="2382" spans="1:4" x14ac:dyDescent="0.25">
      <c r="A2382" s="2">
        <v>37742</v>
      </c>
      <c r="B2382" s="1" t="s">
        <v>15</v>
      </c>
      <c r="C2382" s="1">
        <v>377.5</v>
      </c>
      <c r="D2382" s="1">
        <v>0</v>
      </c>
    </row>
    <row r="2383" spans="1:4" x14ac:dyDescent="0.25">
      <c r="A2383" s="2">
        <v>37773</v>
      </c>
      <c r="B2383" s="1" t="s">
        <v>15</v>
      </c>
      <c r="C2383" s="1">
        <v>377.7</v>
      </c>
      <c r="D2383" s="1">
        <v>0</v>
      </c>
    </row>
    <row r="2384" spans="1:4" x14ac:dyDescent="0.25">
      <c r="A2384" s="2">
        <v>37803</v>
      </c>
      <c r="B2384" s="1" t="s">
        <v>15</v>
      </c>
      <c r="C2384" s="1">
        <v>378.4</v>
      </c>
      <c r="D2384" s="1">
        <v>0</v>
      </c>
    </row>
    <row r="2385" spans="1:4" x14ac:dyDescent="0.25">
      <c r="A2385" s="2">
        <v>37834</v>
      </c>
      <c r="B2385" s="1" t="s">
        <v>15</v>
      </c>
      <c r="C2385" s="1">
        <v>379.1</v>
      </c>
      <c r="D2385" s="1">
        <v>0</v>
      </c>
    </row>
    <row r="2386" spans="1:4" x14ac:dyDescent="0.25">
      <c r="A2386" s="2">
        <v>37865</v>
      </c>
      <c r="B2386" s="1" t="s">
        <v>15</v>
      </c>
      <c r="C2386" s="1">
        <v>378.1</v>
      </c>
      <c r="D2386" s="1">
        <v>0</v>
      </c>
    </row>
    <row r="2387" spans="1:4" x14ac:dyDescent="0.25">
      <c r="A2387" s="2">
        <v>37895</v>
      </c>
      <c r="B2387" s="1" t="s">
        <v>15</v>
      </c>
      <c r="C2387" s="1">
        <v>379.3</v>
      </c>
      <c r="D2387" s="1">
        <v>0</v>
      </c>
    </row>
    <row r="2388" spans="1:4" x14ac:dyDescent="0.25">
      <c r="A2388" s="2">
        <v>37926</v>
      </c>
      <c r="B2388" s="1" t="s">
        <v>15</v>
      </c>
      <c r="C2388" s="1">
        <v>380</v>
      </c>
      <c r="D2388" s="1">
        <v>0</v>
      </c>
    </row>
    <row r="2389" spans="1:4" x14ac:dyDescent="0.25">
      <c r="A2389" s="2">
        <v>37956</v>
      </c>
      <c r="B2389" s="1" t="s">
        <v>15</v>
      </c>
      <c r="C2389" s="1">
        <v>379.6</v>
      </c>
      <c r="D2389" s="1">
        <v>0</v>
      </c>
    </row>
    <row r="2390" spans="1:4" x14ac:dyDescent="0.25">
      <c r="A2390" s="2">
        <v>37987</v>
      </c>
      <c r="B2390" s="1" t="s">
        <v>15</v>
      </c>
      <c r="C2390" s="1">
        <v>380.3</v>
      </c>
      <c r="D2390" s="1">
        <v>0</v>
      </c>
    </row>
    <row r="2391" spans="1:4" x14ac:dyDescent="0.25">
      <c r="A2391" s="2">
        <v>38018</v>
      </c>
      <c r="B2391" s="1" t="s">
        <v>15</v>
      </c>
      <c r="C2391" s="1">
        <v>380.5</v>
      </c>
      <c r="D2391" s="1">
        <v>0</v>
      </c>
    </row>
    <row r="2392" spans="1:4" x14ac:dyDescent="0.25">
      <c r="A2392" s="2">
        <v>38047</v>
      </c>
      <c r="B2392" s="1" t="s">
        <v>15</v>
      </c>
      <c r="C2392" s="1">
        <v>380.6</v>
      </c>
      <c r="D2392" s="1">
        <v>0</v>
      </c>
    </row>
    <row r="2393" spans="1:4" x14ac:dyDescent="0.25">
      <c r="A2393" s="2">
        <v>38078</v>
      </c>
      <c r="B2393" s="1" t="s">
        <v>15</v>
      </c>
      <c r="C2393" s="1">
        <v>382.8</v>
      </c>
      <c r="D2393" s="1">
        <v>0</v>
      </c>
    </row>
    <row r="2394" spans="1:4" x14ac:dyDescent="0.25">
      <c r="A2394" s="2">
        <v>38108</v>
      </c>
      <c r="B2394" s="1" t="s">
        <v>15</v>
      </c>
      <c r="C2394" s="1">
        <v>383.5</v>
      </c>
      <c r="D2394" s="1">
        <v>0</v>
      </c>
    </row>
    <row r="2395" spans="1:4" x14ac:dyDescent="0.25">
      <c r="A2395" s="2">
        <v>38139</v>
      </c>
      <c r="B2395" s="1" t="s">
        <v>15</v>
      </c>
      <c r="C2395" s="1">
        <v>383.9</v>
      </c>
      <c r="D2395" s="1">
        <v>0</v>
      </c>
    </row>
    <row r="2396" spans="1:4" x14ac:dyDescent="0.25">
      <c r="A2396" s="2">
        <v>38169</v>
      </c>
      <c r="B2396" s="1" t="s">
        <v>15</v>
      </c>
      <c r="C2396" s="1">
        <v>383.3</v>
      </c>
      <c r="D2396" s="1">
        <v>0</v>
      </c>
    </row>
    <row r="2397" spans="1:4" x14ac:dyDescent="0.25">
      <c r="A2397" s="2">
        <v>38200</v>
      </c>
      <c r="B2397" s="1" t="s">
        <v>15</v>
      </c>
      <c r="C2397" s="1">
        <v>384.4</v>
      </c>
      <c r="D2397" s="1">
        <v>0</v>
      </c>
    </row>
    <row r="2398" spans="1:4" x14ac:dyDescent="0.25">
      <c r="A2398" s="2">
        <v>38231</v>
      </c>
      <c r="B2398" s="1" t="s">
        <v>15</v>
      </c>
      <c r="C2398" s="1">
        <v>385.6</v>
      </c>
      <c r="D2398" s="1">
        <v>0</v>
      </c>
    </row>
    <row r="2399" spans="1:4" x14ac:dyDescent="0.25">
      <c r="A2399" s="2">
        <v>38261</v>
      </c>
      <c r="B2399" s="1" t="s">
        <v>15</v>
      </c>
      <c r="C2399" s="1">
        <v>386</v>
      </c>
      <c r="D2399" s="1">
        <v>0</v>
      </c>
    </row>
    <row r="2400" spans="1:4" x14ac:dyDescent="0.25">
      <c r="A2400" s="2">
        <v>38292</v>
      </c>
      <c r="B2400" s="1" t="s">
        <v>15</v>
      </c>
      <c r="C2400" s="1">
        <v>385.9</v>
      </c>
      <c r="D2400" s="1">
        <v>0</v>
      </c>
    </row>
    <row r="2401" spans="1:4" x14ac:dyDescent="0.25">
      <c r="A2401" s="2">
        <v>38322</v>
      </c>
      <c r="B2401" s="1" t="s">
        <v>15</v>
      </c>
      <c r="C2401" s="1">
        <v>385.5</v>
      </c>
      <c r="D2401" s="1">
        <v>0</v>
      </c>
    </row>
    <row r="2402" spans="1:4" x14ac:dyDescent="0.25">
      <c r="A2402" s="2">
        <v>38353</v>
      </c>
      <c r="B2402" s="1" t="s">
        <v>15</v>
      </c>
      <c r="C2402" s="1">
        <v>385.9</v>
      </c>
      <c r="D2402" s="1">
        <v>0</v>
      </c>
    </row>
    <row r="2403" spans="1:4" x14ac:dyDescent="0.25">
      <c r="A2403" s="2">
        <v>38384</v>
      </c>
      <c r="B2403" s="1" t="s">
        <v>15</v>
      </c>
      <c r="C2403" s="1">
        <v>387</v>
      </c>
      <c r="D2403" s="1">
        <v>0</v>
      </c>
    </row>
    <row r="2404" spans="1:4" x14ac:dyDescent="0.25">
      <c r="A2404" s="2">
        <v>38412</v>
      </c>
      <c r="B2404" s="1" t="s">
        <v>15</v>
      </c>
      <c r="C2404" s="1">
        <v>388.1</v>
      </c>
      <c r="D2404" s="1">
        <v>0</v>
      </c>
    </row>
    <row r="2405" spans="1:4" x14ac:dyDescent="0.25">
      <c r="A2405" s="2">
        <v>38443</v>
      </c>
      <c r="B2405" s="1" t="s">
        <v>15</v>
      </c>
      <c r="C2405" s="1">
        <v>388.9</v>
      </c>
      <c r="D2405" s="1">
        <v>0</v>
      </c>
    </row>
    <row r="2406" spans="1:4" x14ac:dyDescent="0.25">
      <c r="A2406" s="2">
        <v>38473</v>
      </c>
      <c r="B2406" s="1" t="s">
        <v>15</v>
      </c>
      <c r="C2406" s="1">
        <v>388.8</v>
      </c>
      <c r="D2406" s="1">
        <v>0</v>
      </c>
    </row>
    <row r="2407" spans="1:4" x14ac:dyDescent="0.25">
      <c r="A2407" s="2">
        <v>38504</v>
      </c>
      <c r="B2407" s="1" t="s">
        <v>15</v>
      </c>
      <c r="C2407" s="1">
        <v>389</v>
      </c>
      <c r="D2407" s="1">
        <v>0</v>
      </c>
    </row>
    <row r="2408" spans="1:4" x14ac:dyDescent="0.25">
      <c r="A2408" s="2">
        <v>38534</v>
      </c>
      <c r="B2408" s="1" t="s">
        <v>15</v>
      </c>
      <c r="C2408" s="1">
        <v>390.2</v>
      </c>
      <c r="D2408" s="1">
        <v>0</v>
      </c>
    </row>
    <row r="2409" spans="1:4" x14ac:dyDescent="0.25">
      <c r="A2409" s="2">
        <v>38565</v>
      </c>
      <c r="B2409" s="1" t="s">
        <v>15</v>
      </c>
      <c r="C2409" s="1">
        <v>391</v>
      </c>
      <c r="D2409" s="1">
        <v>0</v>
      </c>
    </row>
    <row r="2410" spans="1:4" x14ac:dyDescent="0.25">
      <c r="A2410" s="2">
        <v>38596</v>
      </c>
      <c r="B2410" s="1" t="s">
        <v>15</v>
      </c>
      <c r="C2410" s="1">
        <v>392.2</v>
      </c>
      <c r="D2410" s="1">
        <v>0</v>
      </c>
    </row>
    <row r="2411" spans="1:4" x14ac:dyDescent="0.25">
      <c r="A2411" s="2">
        <v>38626</v>
      </c>
      <c r="B2411" s="1" t="s">
        <v>15</v>
      </c>
      <c r="C2411" s="1">
        <v>391.6</v>
      </c>
      <c r="D2411" s="1">
        <v>0</v>
      </c>
    </row>
    <row r="2412" spans="1:4" x14ac:dyDescent="0.25">
      <c r="A2412" s="2">
        <v>38657</v>
      </c>
      <c r="B2412" s="1" t="s">
        <v>15</v>
      </c>
      <c r="C2412" s="1">
        <v>392.8</v>
      </c>
      <c r="D2412" s="1">
        <v>0</v>
      </c>
    </row>
    <row r="2413" spans="1:4" x14ac:dyDescent="0.25">
      <c r="A2413" s="2">
        <v>38687</v>
      </c>
      <c r="B2413" s="1" t="s">
        <v>15</v>
      </c>
      <c r="C2413" s="1">
        <v>393.8</v>
      </c>
      <c r="D2413" s="1">
        <v>0</v>
      </c>
    </row>
    <row r="2414" spans="1:4" x14ac:dyDescent="0.25">
      <c r="A2414" s="2">
        <v>38718</v>
      </c>
      <c r="B2414" s="1" t="s">
        <v>15</v>
      </c>
      <c r="C2414" s="1">
        <v>395.1</v>
      </c>
      <c r="D2414" s="1">
        <v>0</v>
      </c>
    </row>
    <row r="2415" spans="1:4" x14ac:dyDescent="0.25">
      <c r="A2415" s="2">
        <v>38749</v>
      </c>
      <c r="B2415" s="1" t="s">
        <v>15</v>
      </c>
      <c r="C2415" s="1">
        <v>396.1</v>
      </c>
      <c r="D2415" s="1">
        <v>0</v>
      </c>
    </row>
    <row r="2416" spans="1:4" x14ac:dyDescent="0.25">
      <c r="A2416" s="2">
        <v>38777</v>
      </c>
      <c r="B2416" s="1" t="s">
        <v>15</v>
      </c>
      <c r="C2416" s="1">
        <v>396.9</v>
      </c>
      <c r="D2416" s="1">
        <v>0</v>
      </c>
    </row>
    <row r="2417" spans="1:4" x14ac:dyDescent="0.25">
      <c r="A2417" s="2">
        <v>38808</v>
      </c>
      <c r="B2417" s="1" t="s">
        <v>15</v>
      </c>
      <c r="C2417" s="1">
        <v>396.9</v>
      </c>
      <c r="D2417" s="1">
        <v>0</v>
      </c>
    </row>
    <row r="2418" spans="1:4" x14ac:dyDescent="0.25">
      <c r="A2418" s="2">
        <v>38838</v>
      </c>
      <c r="B2418" s="1" t="s">
        <v>15</v>
      </c>
      <c r="C2418" s="1">
        <v>397.5</v>
      </c>
      <c r="D2418" s="1">
        <v>0</v>
      </c>
    </row>
    <row r="2419" spans="1:4" x14ac:dyDescent="0.25">
      <c r="A2419" s="2">
        <v>38869</v>
      </c>
      <c r="B2419" s="1" t="s">
        <v>15</v>
      </c>
      <c r="C2419" s="1">
        <v>398</v>
      </c>
      <c r="D2419" s="1">
        <v>0</v>
      </c>
    </row>
    <row r="2420" spans="1:4" x14ac:dyDescent="0.25">
      <c r="A2420" s="2">
        <v>38899</v>
      </c>
      <c r="B2420" s="1" t="s">
        <v>15</v>
      </c>
      <c r="C2420" s="1">
        <v>398.7</v>
      </c>
      <c r="D2420" s="1">
        <v>0</v>
      </c>
    </row>
    <row r="2421" spans="1:4" x14ac:dyDescent="0.25">
      <c r="A2421" s="2">
        <v>38930</v>
      </c>
      <c r="B2421" s="1" t="s">
        <v>15</v>
      </c>
      <c r="C2421" s="1">
        <v>399.9</v>
      </c>
      <c r="D2421" s="1">
        <v>0</v>
      </c>
    </row>
    <row r="2422" spans="1:4" x14ac:dyDescent="0.25">
      <c r="A2422" s="2">
        <v>38961</v>
      </c>
      <c r="B2422" s="1" t="s">
        <v>15</v>
      </c>
      <c r="C2422" s="1">
        <v>399.7</v>
      </c>
      <c r="D2422" s="1">
        <v>0</v>
      </c>
    </row>
    <row r="2423" spans="1:4" x14ac:dyDescent="0.25">
      <c r="A2423" s="2">
        <v>38991</v>
      </c>
      <c r="B2423" s="1" t="s">
        <v>15</v>
      </c>
      <c r="C2423" s="1">
        <v>400.3</v>
      </c>
      <c r="D2423" s="1">
        <v>0</v>
      </c>
    </row>
    <row r="2424" spans="1:4" x14ac:dyDescent="0.25">
      <c r="A2424" s="2">
        <v>39022</v>
      </c>
      <c r="B2424" s="1" t="s">
        <v>15</v>
      </c>
      <c r="C2424" s="1">
        <v>401.4</v>
      </c>
      <c r="D2424" s="1">
        <v>0</v>
      </c>
    </row>
    <row r="2425" spans="1:4" x14ac:dyDescent="0.25">
      <c r="A2425" s="2">
        <v>39052</v>
      </c>
      <c r="B2425" s="1" t="s">
        <v>15</v>
      </c>
      <c r="C2425" s="1">
        <v>402.6</v>
      </c>
      <c r="D2425" s="1">
        <v>0</v>
      </c>
    </row>
    <row r="2426" spans="1:4" x14ac:dyDescent="0.25">
      <c r="A2426" s="2">
        <v>39083</v>
      </c>
      <c r="B2426" s="1" t="s">
        <v>15</v>
      </c>
      <c r="C2426" s="1">
        <v>403</v>
      </c>
      <c r="D2426" s="1">
        <v>0</v>
      </c>
    </row>
    <row r="2427" spans="1:4" x14ac:dyDescent="0.25">
      <c r="A2427" s="2">
        <v>39114</v>
      </c>
      <c r="B2427" s="1" t="s">
        <v>15</v>
      </c>
      <c r="C2427" s="1">
        <v>403.9</v>
      </c>
      <c r="D2427" s="1">
        <v>0</v>
      </c>
    </row>
    <row r="2428" spans="1:4" x14ac:dyDescent="0.25">
      <c r="A2428" s="2">
        <v>39142</v>
      </c>
      <c r="B2428" s="1" t="s">
        <v>15</v>
      </c>
      <c r="C2428" s="1">
        <v>405</v>
      </c>
      <c r="D2428" s="1">
        <v>0</v>
      </c>
    </row>
    <row r="2429" spans="1:4" x14ac:dyDescent="0.25">
      <c r="A2429" s="2">
        <v>39173</v>
      </c>
      <c r="B2429" s="1" t="s">
        <v>15</v>
      </c>
      <c r="C2429" s="1">
        <v>405.9</v>
      </c>
      <c r="D2429" s="1">
        <v>0</v>
      </c>
    </row>
    <row r="2430" spans="1:4" x14ac:dyDescent="0.25">
      <c r="A2430" s="2">
        <v>39203</v>
      </c>
      <c r="B2430" s="1" t="s">
        <v>15</v>
      </c>
      <c r="C2430" s="1">
        <v>406.8</v>
      </c>
      <c r="D2430" s="1">
        <v>0</v>
      </c>
    </row>
    <row r="2431" spans="1:4" x14ac:dyDescent="0.25">
      <c r="A2431" s="2">
        <v>39234</v>
      </c>
      <c r="B2431" s="1" t="s">
        <v>15</v>
      </c>
      <c r="C2431" s="1">
        <v>406.5</v>
      </c>
      <c r="D2431" s="1">
        <v>0</v>
      </c>
    </row>
    <row r="2432" spans="1:4" x14ac:dyDescent="0.25">
      <c r="A2432" s="2">
        <v>39264</v>
      </c>
      <c r="B2432" s="1" t="s">
        <v>15</v>
      </c>
      <c r="C2432" s="1">
        <v>407.7</v>
      </c>
      <c r="D2432" s="1">
        <v>0</v>
      </c>
    </row>
    <row r="2433" spans="1:4" x14ac:dyDescent="0.25">
      <c r="A2433" s="2">
        <v>39295</v>
      </c>
      <c r="B2433" s="1" t="s">
        <v>15</v>
      </c>
      <c r="C2433" s="1">
        <v>407.7</v>
      </c>
      <c r="D2433" s="1">
        <v>0</v>
      </c>
    </row>
    <row r="2434" spans="1:4" x14ac:dyDescent="0.25">
      <c r="A2434" s="2">
        <v>39326</v>
      </c>
      <c r="B2434" s="1" t="s">
        <v>15</v>
      </c>
      <c r="C2434" s="1">
        <v>407.5</v>
      </c>
      <c r="D2434" s="1">
        <v>0</v>
      </c>
    </row>
    <row r="2435" spans="1:4" x14ac:dyDescent="0.25">
      <c r="A2435" s="2">
        <v>39356</v>
      </c>
      <c r="B2435" s="1" t="s">
        <v>15</v>
      </c>
      <c r="C2435" s="1">
        <v>407.8</v>
      </c>
      <c r="D2435" s="1">
        <v>0</v>
      </c>
    </row>
    <row r="2436" spans="1:4" x14ac:dyDescent="0.25">
      <c r="A2436" s="2">
        <v>39387</v>
      </c>
      <c r="B2436" s="1" t="s">
        <v>15</v>
      </c>
      <c r="C2436" s="1">
        <v>408.5</v>
      </c>
      <c r="D2436" s="1">
        <v>0</v>
      </c>
    </row>
    <row r="2437" spans="1:4" x14ac:dyDescent="0.25">
      <c r="A2437" s="2">
        <v>39417</v>
      </c>
      <c r="B2437" s="1" t="s">
        <v>15</v>
      </c>
      <c r="C2437" s="1">
        <v>408.3</v>
      </c>
      <c r="D2437" s="1">
        <v>0</v>
      </c>
    </row>
    <row r="2438" spans="1:4" x14ac:dyDescent="0.25">
      <c r="A2438" s="2">
        <v>39448</v>
      </c>
      <c r="B2438" s="1" t="s">
        <v>15</v>
      </c>
      <c r="C2438" s="1">
        <v>411.1</v>
      </c>
      <c r="D2438" s="1">
        <v>0</v>
      </c>
    </row>
    <row r="2439" spans="1:4" x14ac:dyDescent="0.25">
      <c r="A2439" s="2">
        <v>39479</v>
      </c>
      <c r="B2439" s="1" t="s">
        <v>15</v>
      </c>
      <c r="C2439" s="1">
        <v>412.1</v>
      </c>
      <c r="D2439" s="1">
        <v>0</v>
      </c>
    </row>
    <row r="2440" spans="1:4" x14ac:dyDescent="0.25">
      <c r="A2440" s="2">
        <v>39508</v>
      </c>
      <c r="B2440" s="1" t="s">
        <v>15</v>
      </c>
      <c r="C2440" s="1">
        <v>411.9</v>
      </c>
      <c r="D2440" s="1">
        <v>0</v>
      </c>
    </row>
    <row r="2441" spans="1:4" x14ac:dyDescent="0.25">
      <c r="A2441" s="2">
        <v>39539</v>
      </c>
      <c r="B2441" s="1" t="s">
        <v>15</v>
      </c>
      <c r="C2441" s="1">
        <v>411.1</v>
      </c>
      <c r="D2441" s="1">
        <v>0</v>
      </c>
    </row>
    <row r="2442" spans="1:4" x14ac:dyDescent="0.25">
      <c r="A2442" s="2">
        <v>39569</v>
      </c>
      <c r="B2442" s="1" t="s">
        <v>15</v>
      </c>
      <c r="C2442" s="1">
        <v>411.6</v>
      </c>
      <c r="D2442" s="1">
        <v>0</v>
      </c>
    </row>
    <row r="2443" spans="1:4" x14ac:dyDescent="0.25">
      <c r="A2443" s="2">
        <v>39600</v>
      </c>
      <c r="B2443" s="1" t="s">
        <v>15</v>
      </c>
      <c r="C2443" s="1">
        <v>411.2</v>
      </c>
      <c r="D2443" s="1">
        <v>0</v>
      </c>
    </row>
    <row r="2444" spans="1:4" x14ac:dyDescent="0.25">
      <c r="A2444" s="2">
        <v>39630</v>
      </c>
      <c r="B2444" s="1" t="s">
        <v>15</v>
      </c>
      <c r="C2444" s="1">
        <v>411.1</v>
      </c>
      <c r="D2444" s="1">
        <v>0</v>
      </c>
    </row>
    <row r="2445" spans="1:4" x14ac:dyDescent="0.25">
      <c r="A2445" s="2">
        <v>39661</v>
      </c>
      <c r="B2445" s="1" t="s">
        <v>15</v>
      </c>
      <c r="C2445" s="1">
        <v>412.1</v>
      </c>
      <c r="D2445" s="1">
        <v>0</v>
      </c>
    </row>
    <row r="2446" spans="1:4" x14ac:dyDescent="0.25">
      <c r="A2446" s="2">
        <v>39692</v>
      </c>
      <c r="B2446" s="1" t="s">
        <v>15</v>
      </c>
      <c r="C2446" s="1">
        <v>412</v>
      </c>
      <c r="D2446" s="1">
        <v>0</v>
      </c>
    </row>
    <row r="2447" spans="1:4" x14ac:dyDescent="0.25">
      <c r="A2447" s="2">
        <v>39722</v>
      </c>
      <c r="B2447" s="1" t="s">
        <v>15</v>
      </c>
      <c r="C2447" s="1">
        <v>411.7</v>
      </c>
      <c r="D2447" s="1">
        <v>0</v>
      </c>
    </row>
    <row r="2448" spans="1:4" x14ac:dyDescent="0.25">
      <c r="A2448" s="2">
        <v>39753</v>
      </c>
      <c r="B2448" s="1" t="s">
        <v>15</v>
      </c>
      <c r="C2448" s="1">
        <v>410.7</v>
      </c>
      <c r="D2448" s="1">
        <v>0</v>
      </c>
    </row>
    <row r="2449" spans="1:4" x14ac:dyDescent="0.25">
      <c r="A2449" s="2">
        <v>39783</v>
      </c>
      <c r="B2449" s="1" t="s">
        <v>15</v>
      </c>
      <c r="C2449" s="1">
        <v>410.7</v>
      </c>
      <c r="D2449" s="1">
        <v>0</v>
      </c>
    </row>
    <row r="2450" spans="1:4" x14ac:dyDescent="0.25">
      <c r="A2450" s="2">
        <v>39814</v>
      </c>
      <c r="B2450" s="1" t="s">
        <v>15</v>
      </c>
      <c r="C2450" s="1">
        <v>409.2</v>
      </c>
      <c r="D2450" s="1">
        <v>0</v>
      </c>
    </row>
    <row r="2451" spans="1:4" x14ac:dyDescent="0.25">
      <c r="A2451" s="2">
        <v>39845</v>
      </c>
      <c r="B2451" s="1" t="s">
        <v>15</v>
      </c>
      <c r="C2451" s="1">
        <v>407.7</v>
      </c>
      <c r="D2451" s="1">
        <v>0</v>
      </c>
    </row>
    <row r="2452" spans="1:4" x14ac:dyDescent="0.25">
      <c r="A2452" s="2">
        <v>39873</v>
      </c>
      <c r="B2452" s="1" t="s">
        <v>15</v>
      </c>
      <c r="C2452" s="1">
        <v>405.8</v>
      </c>
      <c r="D2452" s="1">
        <v>0</v>
      </c>
    </row>
    <row r="2453" spans="1:4" x14ac:dyDescent="0.25">
      <c r="A2453" s="2">
        <v>39904</v>
      </c>
      <c r="B2453" s="1" t="s">
        <v>15</v>
      </c>
      <c r="C2453" s="1">
        <v>401.4</v>
      </c>
      <c r="D2453" s="1">
        <v>0</v>
      </c>
    </row>
    <row r="2454" spans="1:4" x14ac:dyDescent="0.25">
      <c r="A2454" s="2">
        <v>39934</v>
      </c>
      <c r="B2454" s="1" t="s">
        <v>15</v>
      </c>
      <c r="C2454" s="1">
        <v>404.8</v>
      </c>
      <c r="D2454" s="1">
        <v>0</v>
      </c>
    </row>
    <row r="2455" spans="1:4" x14ac:dyDescent="0.25">
      <c r="A2455" s="2">
        <v>39965</v>
      </c>
      <c r="B2455" s="1" t="s">
        <v>15</v>
      </c>
      <c r="C2455" s="1">
        <v>403.4</v>
      </c>
      <c r="D2455" s="1">
        <v>0</v>
      </c>
    </row>
    <row r="2456" spans="1:4" x14ac:dyDescent="0.25">
      <c r="A2456" s="2">
        <v>39995</v>
      </c>
      <c r="B2456" s="1" t="s">
        <v>15</v>
      </c>
      <c r="C2456" s="1">
        <v>403.7</v>
      </c>
      <c r="D2456" s="1">
        <v>0</v>
      </c>
    </row>
    <row r="2457" spans="1:4" x14ac:dyDescent="0.25">
      <c r="A2457" s="2">
        <v>40026</v>
      </c>
      <c r="B2457" s="1" t="s">
        <v>15</v>
      </c>
      <c r="C2457" s="1">
        <v>402.4</v>
      </c>
      <c r="D2457" s="1">
        <v>0</v>
      </c>
    </row>
    <row r="2458" spans="1:4" x14ac:dyDescent="0.25">
      <c r="A2458" s="2">
        <v>40057</v>
      </c>
      <c r="B2458" s="1" t="s">
        <v>15</v>
      </c>
      <c r="C2458" s="1">
        <v>402.5</v>
      </c>
      <c r="D2458" s="1">
        <v>0</v>
      </c>
    </row>
    <row r="2459" spans="1:4" x14ac:dyDescent="0.25">
      <c r="A2459" s="2">
        <v>40087</v>
      </c>
      <c r="B2459" s="1" t="s">
        <v>15</v>
      </c>
      <c r="C2459" s="1">
        <v>401.2</v>
      </c>
      <c r="D2459" s="1">
        <v>0</v>
      </c>
    </row>
    <row r="2460" spans="1:4" x14ac:dyDescent="0.25">
      <c r="A2460" s="2">
        <v>40118</v>
      </c>
      <c r="B2460" s="1" t="s">
        <v>15</v>
      </c>
      <c r="C2460" s="1">
        <v>401.7</v>
      </c>
      <c r="D2460" s="1">
        <v>0</v>
      </c>
    </row>
    <row r="2461" spans="1:4" x14ac:dyDescent="0.25">
      <c r="A2461" s="2">
        <v>40148</v>
      </c>
      <c r="B2461" s="1" t="s">
        <v>15</v>
      </c>
      <c r="C2461" s="1">
        <v>400.7</v>
      </c>
      <c r="D2461" s="1">
        <v>0</v>
      </c>
    </row>
    <row r="2462" spans="1:4" x14ac:dyDescent="0.25">
      <c r="A2462" s="2">
        <v>40179</v>
      </c>
      <c r="B2462" s="1" t="s">
        <v>15</v>
      </c>
      <c r="C2462" s="1">
        <v>399.8</v>
      </c>
      <c r="D2462" s="1">
        <v>0</v>
      </c>
    </row>
    <row r="2463" spans="1:4" x14ac:dyDescent="0.25">
      <c r="A2463" s="2">
        <v>40210</v>
      </c>
      <c r="B2463" s="1" t="s">
        <v>15</v>
      </c>
      <c r="C2463" s="1">
        <v>399.4</v>
      </c>
      <c r="D2463" s="1">
        <v>0</v>
      </c>
    </row>
    <row r="2464" spans="1:4" x14ac:dyDescent="0.25">
      <c r="A2464" s="2">
        <v>40238</v>
      </c>
      <c r="B2464" s="1" t="s">
        <v>15</v>
      </c>
      <c r="C2464" s="1">
        <v>400.4</v>
      </c>
      <c r="D2464" s="1">
        <v>0</v>
      </c>
    </row>
    <row r="2465" spans="1:4" x14ac:dyDescent="0.25">
      <c r="A2465" s="2">
        <v>40269</v>
      </c>
      <c r="B2465" s="1" t="s">
        <v>15</v>
      </c>
      <c r="C2465" s="1">
        <v>401.7</v>
      </c>
      <c r="D2465" s="1">
        <v>0</v>
      </c>
    </row>
    <row r="2466" spans="1:4" x14ac:dyDescent="0.25">
      <c r="A2466" s="2">
        <v>40299</v>
      </c>
      <c r="B2466" s="1" t="s">
        <v>15</v>
      </c>
      <c r="C2466" s="1">
        <v>403.3</v>
      </c>
      <c r="D2466" s="1">
        <v>0</v>
      </c>
    </row>
    <row r="2467" spans="1:4" x14ac:dyDescent="0.25">
      <c r="A2467" s="2">
        <v>40330</v>
      </c>
      <c r="B2467" s="1" t="s">
        <v>15</v>
      </c>
      <c r="C2467" s="1">
        <v>403.6</v>
      </c>
      <c r="D2467" s="1">
        <v>0</v>
      </c>
    </row>
    <row r="2468" spans="1:4" x14ac:dyDescent="0.25">
      <c r="A2468" s="2">
        <v>40360</v>
      </c>
      <c r="B2468" s="1" t="s">
        <v>15</v>
      </c>
      <c r="C2468" s="1">
        <v>404.2</v>
      </c>
      <c r="D2468" s="1">
        <v>0</v>
      </c>
    </row>
    <row r="2469" spans="1:4" x14ac:dyDescent="0.25">
      <c r="A2469" s="2">
        <v>40391</v>
      </c>
      <c r="B2469" s="1" t="s">
        <v>15</v>
      </c>
      <c r="C2469" s="1">
        <v>404.9</v>
      </c>
      <c r="D2469" s="1">
        <v>0</v>
      </c>
    </row>
    <row r="2470" spans="1:4" x14ac:dyDescent="0.25">
      <c r="A2470" s="2">
        <v>40422</v>
      </c>
      <c r="B2470" s="1" t="s">
        <v>15</v>
      </c>
      <c r="C2470" s="1">
        <v>404.8</v>
      </c>
      <c r="D2470" s="1">
        <v>0</v>
      </c>
    </row>
    <row r="2471" spans="1:4" x14ac:dyDescent="0.25">
      <c r="A2471" s="2">
        <v>40452</v>
      </c>
      <c r="B2471" s="1" t="s">
        <v>15</v>
      </c>
      <c r="C2471" s="1">
        <v>405.4</v>
      </c>
      <c r="D2471" s="1">
        <v>0</v>
      </c>
    </row>
    <row r="2472" spans="1:4" x14ac:dyDescent="0.25">
      <c r="A2472" s="2">
        <v>40483</v>
      </c>
      <c r="B2472" s="1" t="s">
        <v>15</v>
      </c>
      <c r="C2472" s="1">
        <v>405.5</v>
      </c>
      <c r="D2472" s="1">
        <v>0</v>
      </c>
    </row>
    <row r="2473" spans="1:4" x14ac:dyDescent="0.25">
      <c r="A2473" s="2">
        <v>40513</v>
      </c>
      <c r="B2473" s="1" t="s">
        <v>15</v>
      </c>
      <c r="C2473" s="1">
        <v>404.7</v>
      </c>
      <c r="D2473" s="1">
        <v>0</v>
      </c>
    </row>
    <row r="2474" spans="1:4" x14ac:dyDescent="0.25">
      <c r="A2474" s="2">
        <v>40544</v>
      </c>
      <c r="B2474" s="1" t="s">
        <v>15</v>
      </c>
      <c r="C2474" s="1">
        <v>404.5</v>
      </c>
      <c r="D2474" s="1">
        <v>0</v>
      </c>
    </row>
    <row r="2475" spans="1:4" x14ac:dyDescent="0.25">
      <c r="A2475" s="2">
        <v>40575</v>
      </c>
      <c r="B2475" s="1" t="s">
        <v>15</v>
      </c>
      <c r="C2475" s="1">
        <v>405</v>
      </c>
      <c r="D2475" s="1">
        <v>0</v>
      </c>
    </row>
    <row r="2476" spans="1:4" x14ac:dyDescent="0.25">
      <c r="A2476" s="2">
        <v>40603</v>
      </c>
      <c r="B2476" s="1" t="s">
        <v>15</v>
      </c>
      <c r="C2476" s="1">
        <v>405.1</v>
      </c>
      <c r="D2476" s="1">
        <v>0</v>
      </c>
    </row>
    <row r="2477" spans="1:4" x14ac:dyDescent="0.25">
      <c r="A2477" s="2">
        <v>40634</v>
      </c>
      <c r="B2477" s="1" t="s">
        <v>15</v>
      </c>
      <c r="C2477" s="1">
        <v>405.6</v>
      </c>
      <c r="D2477" s="1">
        <v>0</v>
      </c>
    </row>
    <row r="2478" spans="1:4" x14ac:dyDescent="0.25">
      <c r="A2478" s="2">
        <v>40664</v>
      </c>
      <c r="B2478" s="1" t="s">
        <v>15</v>
      </c>
      <c r="C2478" s="1">
        <v>406.6</v>
      </c>
      <c r="D2478" s="1">
        <v>0</v>
      </c>
    </row>
    <row r="2479" spans="1:4" x14ac:dyDescent="0.25">
      <c r="A2479" s="2">
        <v>40695</v>
      </c>
      <c r="B2479" s="1" t="s">
        <v>15</v>
      </c>
      <c r="C2479" s="1">
        <v>407</v>
      </c>
      <c r="D2479" s="1">
        <v>0</v>
      </c>
    </row>
    <row r="2480" spans="1:4" x14ac:dyDescent="0.25">
      <c r="A2480" s="2">
        <v>40725</v>
      </c>
      <c r="B2480" s="1" t="s">
        <v>15</v>
      </c>
      <c r="C2480" s="1">
        <v>407.4</v>
      </c>
      <c r="D2480" s="1">
        <v>0</v>
      </c>
    </row>
    <row r="2481" spans="1:4" x14ac:dyDescent="0.25">
      <c r="A2481" s="2">
        <v>40756</v>
      </c>
      <c r="B2481" s="1" t="s">
        <v>15</v>
      </c>
      <c r="C2481" s="1">
        <v>408.2</v>
      </c>
      <c r="D2481" s="1">
        <v>0</v>
      </c>
    </row>
    <row r="2482" spans="1:4" x14ac:dyDescent="0.25">
      <c r="A2482" s="2">
        <v>40787</v>
      </c>
      <c r="B2482" s="1" t="s">
        <v>15</v>
      </c>
      <c r="C2482" s="1">
        <v>408.9</v>
      </c>
      <c r="D2482" s="1">
        <v>0</v>
      </c>
    </row>
    <row r="2483" spans="1:4" x14ac:dyDescent="0.25">
      <c r="A2483" s="2">
        <v>40817</v>
      </c>
      <c r="B2483" s="1" t="s">
        <v>15</v>
      </c>
      <c r="C2483" s="1">
        <v>409.7</v>
      </c>
      <c r="D2483" s="1">
        <v>0</v>
      </c>
    </row>
    <row r="2484" spans="1:4" x14ac:dyDescent="0.25">
      <c r="A2484" s="2">
        <v>40848</v>
      </c>
      <c r="B2484" s="1" t="s">
        <v>15</v>
      </c>
      <c r="C2484" s="1">
        <v>409.8</v>
      </c>
      <c r="D2484" s="1">
        <v>0</v>
      </c>
    </row>
    <row r="2485" spans="1:4" x14ac:dyDescent="0.25">
      <c r="A2485" s="2">
        <v>40878</v>
      </c>
      <c r="B2485" s="1" t="s">
        <v>15</v>
      </c>
      <c r="C2485" s="1">
        <v>410.7</v>
      </c>
      <c r="D2485" s="1">
        <v>0</v>
      </c>
    </row>
    <row r="2486" spans="1:4" x14ac:dyDescent="0.25">
      <c r="A2486" s="2">
        <v>40909</v>
      </c>
      <c r="B2486" s="1" t="s">
        <v>15</v>
      </c>
      <c r="C2486" s="1">
        <v>411.6</v>
      </c>
      <c r="D2486" s="1">
        <v>0</v>
      </c>
    </row>
    <row r="2487" spans="1:4" x14ac:dyDescent="0.25">
      <c r="A2487" s="2">
        <v>40940</v>
      </c>
      <c r="B2487" s="1" t="s">
        <v>15</v>
      </c>
      <c r="C2487" s="1">
        <v>411.6</v>
      </c>
      <c r="D2487" s="1">
        <v>0</v>
      </c>
    </row>
    <row r="2488" spans="1:4" x14ac:dyDescent="0.25">
      <c r="A2488" s="2">
        <v>40969</v>
      </c>
      <c r="B2488" s="1" t="s">
        <v>15</v>
      </c>
      <c r="C2488" s="1">
        <v>413.2</v>
      </c>
      <c r="D2488" s="1">
        <v>0</v>
      </c>
    </row>
    <row r="2489" spans="1:4" x14ac:dyDescent="0.25">
      <c r="A2489" s="2">
        <v>41000</v>
      </c>
      <c r="B2489" s="1" t="s">
        <v>15</v>
      </c>
      <c r="C2489" s="1">
        <v>415.3</v>
      </c>
      <c r="D2489" s="1">
        <v>0</v>
      </c>
    </row>
    <row r="2490" spans="1:4" x14ac:dyDescent="0.25">
      <c r="A2490" s="2">
        <v>41030</v>
      </c>
      <c r="B2490" s="1" t="s">
        <v>15</v>
      </c>
      <c r="C2490" s="1">
        <v>414.2</v>
      </c>
      <c r="D2490" s="1">
        <v>0</v>
      </c>
    </row>
    <row r="2491" spans="1:4" x14ac:dyDescent="0.25">
      <c r="A2491" s="2">
        <v>41061</v>
      </c>
      <c r="B2491" s="1" t="s">
        <v>15</v>
      </c>
      <c r="C2491" s="1">
        <v>414.3</v>
      </c>
      <c r="D2491" s="1">
        <v>0</v>
      </c>
    </row>
    <row r="2492" spans="1:4" x14ac:dyDescent="0.25">
      <c r="A2492" s="2">
        <v>41091</v>
      </c>
      <c r="B2492" s="1" t="s">
        <v>15</v>
      </c>
      <c r="C2492" s="1">
        <v>414</v>
      </c>
      <c r="D2492" s="1">
        <v>0</v>
      </c>
    </row>
    <row r="2493" spans="1:4" x14ac:dyDescent="0.25">
      <c r="A2493" s="2">
        <v>41122</v>
      </c>
      <c r="B2493" s="1" t="s">
        <v>15</v>
      </c>
      <c r="C2493" s="1">
        <v>413.9</v>
      </c>
      <c r="D2493" s="1">
        <v>0</v>
      </c>
    </row>
    <row r="2494" spans="1:4" x14ac:dyDescent="0.25">
      <c r="A2494" s="2">
        <v>41153</v>
      </c>
      <c r="B2494" s="1" t="s">
        <v>15</v>
      </c>
      <c r="C2494" s="1">
        <v>414.7</v>
      </c>
      <c r="D2494" s="1">
        <v>0</v>
      </c>
    </row>
    <row r="2495" spans="1:4" x14ac:dyDescent="0.25">
      <c r="A2495" s="2">
        <v>41183</v>
      </c>
      <c r="B2495" s="1" t="s">
        <v>15</v>
      </c>
      <c r="C2495" s="1">
        <v>414.9</v>
      </c>
      <c r="D2495" s="1">
        <v>0</v>
      </c>
    </row>
    <row r="2496" spans="1:4" x14ac:dyDescent="0.25">
      <c r="A2496" s="2">
        <v>41214</v>
      </c>
      <c r="B2496" s="1" t="s">
        <v>15</v>
      </c>
      <c r="C2496" s="1">
        <v>415.6</v>
      </c>
      <c r="D2496" s="1">
        <v>0</v>
      </c>
    </row>
    <row r="2497" spans="1:4" x14ac:dyDescent="0.25">
      <c r="A2497" s="2">
        <v>41244</v>
      </c>
      <c r="B2497" s="1" t="s">
        <v>15</v>
      </c>
      <c r="C2497" s="1">
        <v>416.3</v>
      </c>
      <c r="D2497" s="1">
        <v>0</v>
      </c>
    </row>
    <row r="2498" spans="1:4" x14ac:dyDescent="0.25">
      <c r="A2498" s="2">
        <v>41275</v>
      </c>
      <c r="B2498" s="1" t="s">
        <v>15</v>
      </c>
      <c r="C2498" s="1">
        <v>416.3</v>
      </c>
      <c r="D2498" s="1">
        <v>0</v>
      </c>
    </row>
    <row r="2499" spans="1:4" x14ac:dyDescent="0.25">
      <c r="A2499" s="2">
        <v>41306</v>
      </c>
      <c r="B2499" s="1" t="s">
        <v>15</v>
      </c>
      <c r="C2499" s="1">
        <v>417</v>
      </c>
      <c r="D2499" s="1">
        <v>0</v>
      </c>
    </row>
    <row r="2500" spans="1:4" x14ac:dyDescent="0.25">
      <c r="A2500" s="2">
        <v>41334</v>
      </c>
      <c r="B2500" s="1" t="s">
        <v>15</v>
      </c>
      <c r="C2500" s="1">
        <v>416.8</v>
      </c>
      <c r="D2500" s="1">
        <v>0</v>
      </c>
    </row>
    <row r="2501" spans="1:4" x14ac:dyDescent="0.25">
      <c r="A2501" s="2">
        <v>41365</v>
      </c>
      <c r="B2501" s="1" t="s">
        <v>15</v>
      </c>
      <c r="C2501" s="1">
        <v>415.5</v>
      </c>
      <c r="D2501" s="1">
        <v>0</v>
      </c>
    </row>
    <row r="2502" spans="1:4" x14ac:dyDescent="0.25">
      <c r="A2502" s="2">
        <v>41395</v>
      </c>
      <c r="B2502" s="1" t="s">
        <v>15</v>
      </c>
      <c r="C2502" s="1">
        <v>417.1</v>
      </c>
      <c r="D2502" s="1">
        <v>0</v>
      </c>
    </row>
    <row r="2503" spans="1:4" x14ac:dyDescent="0.25">
      <c r="A2503" s="2">
        <v>41426</v>
      </c>
      <c r="B2503" s="1" t="s">
        <v>15</v>
      </c>
      <c r="C2503" s="1">
        <v>417.2</v>
      </c>
      <c r="D2503" s="1">
        <v>0</v>
      </c>
    </row>
    <row r="2504" spans="1:4" x14ac:dyDescent="0.25">
      <c r="A2504" s="2">
        <v>41456</v>
      </c>
      <c r="B2504" s="1" t="s">
        <v>15</v>
      </c>
      <c r="C2504" s="1">
        <v>417.1</v>
      </c>
      <c r="D2504" s="1">
        <v>0</v>
      </c>
    </row>
    <row r="2505" spans="1:4" x14ac:dyDescent="0.25">
      <c r="A2505" s="2">
        <v>41487</v>
      </c>
      <c r="B2505" s="1" t="s">
        <v>15</v>
      </c>
      <c r="C2505" s="1">
        <v>418.1</v>
      </c>
      <c r="D2505" s="1">
        <v>0</v>
      </c>
    </row>
    <row r="2506" spans="1:4" x14ac:dyDescent="0.25">
      <c r="A2506" s="2">
        <v>41518</v>
      </c>
      <c r="B2506" s="1" t="s">
        <v>15</v>
      </c>
      <c r="C2506" s="1">
        <v>418.5</v>
      </c>
      <c r="D2506" s="1">
        <v>0</v>
      </c>
    </row>
    <row r="2507" spans="1:4" x14ac:dyDescent="0.25">
      <c r="A2507" s="2">
        <v>41548</v>
      </c>
      <c r="B2507" s="1" t="s">
        <v>15</v>
      </c>
      <c r="C2507" s="1">
        <v>416.7</v>
      </c>
      <c r="D2507" s="1">
        <v>0</v>
      </c>
    </row>
    <row r="2508" spans="1:4" x14ac:dyDescent="0.25">
      <c r="A2508" s="2">
        <v>41579</v>
      </c>
      <c r="B2508" s="1" t="s">
        <v>15</v>
      </c>
      <c r="C2508" s="1">
        <v>418.1</v>
      </c>
      <c r="D2508" s="1">
        <v>0</v>
      </c>
    </row>
    <row r="2509" spans="1:4" x14ac:dyDescent="0.25">
      <c r="A2509" s="2">
        <v>41609</v>
      </c>
      <c r="B2509" s="1" t="s">
        <v>15</v>
      </c>
      <c r="C2509" s="1">
        <v>418.1</v>
      </c>
      <c r="D2509" s="1">
        <v>0</v>
      </c>
    </row>
    <row r="2510" spans="1:4" x14ac:dyDescent="0.25">
      <c r="A2510" s="2">
        <v>41640</v>
      </c>
      <c r="B2510" s="1" t="s">
        <v>15</v>
      </c>
      <c r="C2510" s="1">
        <v>418.9</v>
      </c>
      <c r="D2510" s="1">
        <v>0</v>
      </c>
    </row>
    <row r="2511" spans="1:4" x14ac:dyDescent="0.25">
      <c r="A2511" s="2">
        <v>41671</v>
      </c>
      <c r="B2511" s="1" t="s">
        <v>15</v>
      </c>
      <c r="C2511" s="1">
        <v>419.9</v>
      </c>
      <c r="D2511" s="1">
        <v>0</v>
      </c>
    </row>
    <row r="2512" spans="1:4" x14ac:dyDescent="0.25">
      <c r="A2512" s="2">
        <v>41699</v>
      </c>
      <c r="B2512" s="1" t="s">
        <v>15</v>
      </c>
      <c r="C2512" s="1">
        <v>419.9</v>
      </c>
      <c r="D2512" s="1">
        <v>0</v>
      </c>
    </row>
    <row r="2513" spans="1:4" x14ac:dyDescent="0.25">
      <c r="A2513" s="2">
        <v>41730</v>
      </c>
      <c r="B2513" s="1" t="s">
        <v>15</v>
      </c>
      <c r="C2513" s="1">
        <v>421.3</v>
      </c>
      <c r="D2513" s="1">
        <v>0</v>
      </c>
    </row>
    <row r="2514" spans="1:4" x14ac:dyDescent="0.25">
      <c r="A2514" s="2">
        <v>41760</v>
      </c>
      <c r="B2514" s="1" t="s">
        <v>15</v>
      </c>
      <c r="C2514" s="1">
        <v>419.6</v>
      </c>
      <c r="D2514" s="1">
        <v>0</v>
      </c>
    </row>
    <row r="2515" spans="1:4" x14ac:dyDescent="0.25">
      <c r="A2515" s="2">
        <v>41791</v>
      </c>
      <c r="B2515" s="1" t="s">
        <v>15</v>
      </c>
      <c r="C2515" s="1">
        <v>420.5</v>
      </c>
      <c r="D2515" s="1">
        <v>0</v>
      </c>
    </row>
    <row r="2516" spans="1:4" x14ac:dyDescent="0.25">
      <c r="A2516" s="2">
        <v>41821</v>
      </c>
      <c r="B2516" s="1" t="s">
        <v>15</v>
      </c>
      <c r="C2516" s="1">
        <v>421.7</v>
      </c>
      <c r="D2516" s="1">
        <v>0</v>
      </c>
    </row>
    <row r="2517" spans="1:4" x14ac:dyDescent="0.25">
      <c r="A2517" s="2">
        <v>41852</v>
      </c>
      <c r="B2517" s="1" t="s">
        <v>15</v>
      </c>
      <c r="C2517" s="1">
        <v>420.5</v>
      </c>
      <c r="D2517" s="1">
        <v>0</v>
      </c>
    </row>
    <row r="2518" spans="1:4" x14ac:dyDescent="0.25">
      <c r="A2518" s="2">
        <v>41883</v>
      </c>
      <c r="B2518" s="1" t="s">
        <v>15</v>
      </c>
      <c r="C2518" s="1">
        <v>421.2</v>
      </c>
      <c r="D2518" s="1">
        <v>0</v>
      </c>
    </row>
    <row r="2519" spans="1:4" x14ac:dyDescent="0.25">
      <c r="A2519" s="2">
        <v>41913</v>
      </c>
      <c r="B2519" s="1" t="s">
        <v>15</v>
      </c>
      <c r="C2519" s="1">
        <v>422.5</v>
      </c>
      <c r="D2519" s="1">
        <v>0</v>
      </c>
    </row>
    <row r="2520" spans="1:4" x14ac:dyDescent="0.25">
      <c r="A2520" s="2">
        <v>41944</v>
      </c>
      <c r="B2520" s="1" t="s">
        <v>15</v>
      </c>
      <c r="C2520" s="1">
        <v>419.9</v>
      </c>
      <c r="D2520" s="1">
        <v>0</v>
      </c>
    </row>
    <row r="2521" spans="1:4" x14ac:dyDescent="0.25">
      <c r="A2521" s="2">
        <v>41974</v>
      </c>
      <c r="B2521" s="1" t="s">
        <v>15</v>
      </c>
      <c r="C2521" s="1">
        <v>421.5</v>
      </c>
      <c r="D2521" s="1">
        <v>0</v>
      </c>
    </row>
    <row r="2522" spans="1:4" x14ac:dyDescent="0.25">
      <c r="A2522" s="2">
        <v>36526</v>
      </c>
      <c r="B2522" s="1" t="s">
        <v>16</v>
      </c>
      <c r="C2522" s="1">
        <v>908.9</v>
      </c>
      <c r="D2522" s="1">
        <v>0</v>
      </c>
    </row>
    <row r="2523" spans="1:4" x14ac:dyDescent="0.25">
      <c r="A2523" s="2">
        <v>36557</v>
      </c>
      <c r="B2523" s="1" t="s">
        <v>16</v>
      </c>
      <c r="C2523" s="1">
        <v>909.1</v>
      </c>
      <c r="D2523" s="1">
        <v>0</v>
      </c>
    </row>
    <row r="2524" spans="1:4" x14ac:dyDescent="0.25">
      <c r="A2524" s="2">
        <v>36586</v>
      </c>
      <c r="B2524" s="1" t="s">
        <v>16</v>
      </c>
      <c r="C2524" s="1">
        <v>912.7</v>
      </c>
      <c r="D2524" s="1">
        <v>0</v>
      </c>
    </row>
    <row r="2525" spans="1:4" x14ac:dyDescent="0.25">
      <c r="A2525" s="2">
        <v>36617</v>
      </c>
      <c r="B2525" s="1" t="s">
        <v>16</v>
      </c>
      <c r="C2525" s="1">
        <v>909.9</v>
      </c>
      <c r="D2525" s="1">
        <v>0</v>
      </c>
    </row>
    <row r="2526" spans="1:4" x14ac:dyDescent="0.25">
      <c r="A2526" s="2">
        <v>36647</v>
      </c>
      <c r="B2526" s="1" t="s">
        <v>16</v>
      </c>
      <c r="C2526" s="1">
        <v>912.6</v>
      </c>
      <c r="D2526" s="1">
        <v>0</v>
      </c>
    </row>
    <row r="2527" spans="1:4" x14ac:dyDescent="0.25">
      <c r="A2527" s="2">
        <v>36678</v>
      </c>
      <c r="B2527" s="1" t="s">
        <v>16</v>
      </c>
      <c r="C2527" s="1">
        <v>915.8</v>
      </c>
      <c r="D2527" s="1">
        <v>0</v>
      </c>
    </row>
    <row r="2528" spans="1:4" x14ac:dyDescent="0.25">
      <c r="A2528" s="2">
        <v>36708</v>
      </c>
      <c r="B2528" s="1" t="s">
        <v>16</v>
      </c>
      <c r="C2528" s="1">
        <v>913.6</v>
      </c>
      <c r="D2528" s="1">
        <v>0</v>
      </c>
    </row>
    <row r="2529" spans="1:4" x14ac:dyDescent="0.25">
      <c r="A2529" s="2">
        <v>36739</v>
      </c>
      <c r="B2529" s="1" t="s">
        <v>16</v>
      </c>
      <c r="C2529" s="1">
        <v>916.2</v>
      </c>
      <c r="D2529" s="1">
        <v>0</v>
      </c>
    </row>
    <row r="2530" spans="1:4" x14ac:dyDescent="0.25">
      <c r="A2530" s="2">
        <v>36770</v>
      </c>
      <c r="B2530" s="1" t="s">
        <v>16</v>
      </c>
      <c r="C2530" s="1">
        <v>915.3</v>
      </c>
      <c r="D2530" s="1">
        <v>0</v>
      </c>
    </row>
    <row r="2531" spans="1:4" x14ac:dyDescent="0.25">
      <c r="A2531" s="2">
        <v>36800</v>
      </c>
      <c r="B2531" s="1" t="s">
        <v>16</v>
      </c>
      <c r="C2531" s="1">
        <v>915.3</v>
      </c>
      <c r="D2531" s="1">
        <v>0</v>
      </c>
    </row>
    <row r="2532" spans="1:4" x14ac:dyDescent="0.25">
      <c r="A2532" s="2">
        <v>36831</v>
      </c>
      <c r="B2532" s="1" t="s">
        <v>16</v>
      </c>
      <c r="C2532" s="1">
        <v>916.7</v>
      </c>
      <c r="D2532" s="1">
        <v>0</v>
      </c>
    </row>
    <row r="2533" spans="1:4" x14ac:dyDescent="0.25">
      <c r="A2533" s="2">
        <v>36861</v>
      </c>
      <c r="B2533" s="1" t="s">
        <v>16</v>
      </c>
      <c r="C2533" s="1">
        <v>914.7</v>
      </c>
      <c r="D2533" s="1">
        <v>0</v>
      </c>
    </row>
    <row r="2534" spans="1:4" x14ac:dyDescent="0.25">
      <c r="A2534" s="2">
        <v>36892</v>
      </c>
      <c r="B2534" s="1" t="s">
        <v>16</v>
      </c>
      <c r="C2534" s="1">
        <v>918.2</v>
      </c>
      <c r="D2534" s="1">
        <v>0</v>
      </c>
    </row>
    <row r="2535" spans="1:4" x14ac:dyDescent="0.25">
      <c r="A2535" s="2">
        <v>36923</v>
      </c>
      <c r="B2535" s="1" t="s">
        <v>16</v>
      </c>
      <c r="C2535" s="1">
        <v>917.5</v>
      </c>
      <c r="D2535" s="1">
        <v>0</v>
      </c>
    </row>
    <row r="2536" spans="1:4" x14ac:dyDescent="0.25">
      <c r="A2536" s="2">
        <v>36951</v>
      </c>
      <c r="B2536" s="1" t="s">
        <v>16</v>
      </c>
      <c r="C2536" s="1">
        <v>918.5</v>
      </c>
      <c r="D2536" s="1">
        <v>0</v>
      </c>
    </row>
    <row r="2537" spans="1:4" x14ac:dyDescent="0.25">
      <c r="A2537" s="2">
        <v>36982</v>
      </c>
      <c r="B2537" s="1" t="s">
        <v>16</v>
      </c>
      <c r="C2537" s="1">
        <v>919.6</v>
      </c>
      <c r="D2537" s="1">
        <v>0</v>
      </c>
    </row>
    <row r="2538" spans="1:4" x14ac:dyDescent="0.25">
      <c r="A2538" s="2">
        <v>37012</v>
      </c>
      <c r="B2538" s="1" t="s">
        <v>16</v>
      </c>
      <c r="C2538" s="1">
        <v>920.9</v>
      </c>
      <c r="D2538" s="1">
        <v>0</v>
      </c>
    </row>
    <row r="2539" spans="1:4" x14ac:dyDescent="0.25">
      <c r="A2539" s="2">
        <v>37043</v>
      </c>
      <c r="B2539" s="1" t="s">
        <v>16</v>
      </c>
      <c r="C2539" s="1">
        <v>921.5</v>
      </c>
      <c r="D2539" s="1">
        <v>0</v>
      </c>
    </row>
    <row r="2540" spans="1:4" x14ac:dyDescent="0.25">
      <c r="A2540" s="2">
        <v>37073</v>
      </c>
      <c r="B2540" s="1" t="s">
        <v>16</v>
      </c>
      <c r="C2540" s="1">
        <v>920.4</v>
      </c>
      <c r="D2540" s="1">
        <v>0</v>
      </c>
    </row>
    <row r="2541" spans="1:4" x14ac:dyDescent="0.25">
      <c r="A2541" s="2">
        <v>37104</v>
      </c>
      <c r="B2541" s="1" t="s">
        <v>16</v>
      </c>
      <c r="C2541" s="1">
        <v>922.7</v>
      </c>
      <c r="D2541" s="1">
        <v>0</v>
      </c>
    </row>
    <row r="2542" spans="1:4" x14ac:dyDescent="0.25">
      <c r="A2542" s="2">
        <v>37135</v>
      </c>
      <c r="B2542" s="1" t="s">
        <v>16</v>
      </c>
      <c r="C2542" s="1">
        <v>918.4</v>
      </c>
      <c r="D2542" s="1">
        <v>0</v>
      </c>
    </row>
    <row r="2543" spans="1:4" x14ac:dyDescent="0.25">
      <c r="A2543" s="2">
        <v>37165</v>
      </c>
      <c r="B2543" s="1" t="s">
        <v>16</v>
      </c>
      <c r="C2543" s="1">
        <v>917.4</v>
      </c>
      <c r="D2543" s="1">
        <v>0</v>
      </c>
    </row>
    <row r="2544" spans="1:4" x14ac:dyDescent="0.25">
      <c r="A2544" s="2">
        <v>37196</v>
      </c>
      <c r="B2544" s="1" t="s">
        <v>16</v>
      </c>
      <c r="C2544" s="1">
        <v>919.8</v>
      </c>
      <c r="D2544" s="1">
        <v>0</v>
      </c>
    </row>
    <row r="2545" spans="1:4" x14ac:dyDescent="0.25">
      <c r="A2545" s="2">
        <v>37226</v>
      </c>
      <c r="B2545" s="1" t="s">
        <v>16</v>
      </c>
      <c r="C2545" s="1">
        <v>917.6</v>
      </c>
      <c r="D2545" s="1">
        <v>0</v>
      </c>
    </row>
    <row r="2546" spans="1:4" x14ac:dyDescent="0.25">
      <c r="A2546" s="2">
        <v>37257</v>
      </c>
      <c r="B2546" s="1" t="s">
        <v>16</v>
      </c>
      <c r="C2546" s="1">
        <v>910.2</v>
      </c>
      <c r="D2546" s="1">
        <v>0</v>
      </c>
    </row>
    <row r="2547" spans="1:4" x14ac:dyDescent="0.25">
      <c r="A2547" s="2">
        <v>37288</v>
      </c>
      <c r="B2547" s="1" t="s">
        <v>16</v>
      </c>
      <c r="C2547" s="1">
        <v>911.1</v>
      </c>
      <c r="D2547" s="1">
        <v>0</v>
      </c>
    </row>
    <row r="2548" spans="1:4" x14ac:dyDescent="0.25">
      <c r="A2548" s="2">
        <v>37316</v>
      </c>
      <c r="B2548" s="1" t="s">
        <v>16</v>
      </c>
      <c r="C2548" s="1">
        <v>911.2</v>
      </c>
      <c r="D2548" s="1">
        <v>0</v>
      </c>
    </row>
    <row r="2549" spans="1:4" x14ac:dyDescent="0.25">
      <c r="A2549" s="2">
        <v>37347</v>
      </c>
      <c r="B2549" s="1" t="s">
        <v>16</v>
      </c>
      <c r="C2549" s="1">
        <v>912.5</v>
      </c>
      <c r="D2549" s="1">
        <v>0</v>
      </c>
    </row>
    <row r="2550" spans="1:4" x14ac:dyDescent="0.25">
      <c r="A2550" s="2">
        <v>37377</v>
      </c>
      <c r="B2550" s="1" t="s">
        <v>16</v>
      </c>
      <c r="C2550" s="1">
        <v>911.8</v>
      </c>
      <c r="D2550" s="1">
        <v>0</v>
      </c>
    </row>
    <row r="2551" spans="1:4" x14ac:dyDescent="0.25">
      <c r="A2551" s="2">
        <v>37408</v>
      </c>
      <c r="B2551" s="1" t="s">
        <v>16</v>
      </c>
      <c r="C2551" s="1">
        <v>912.4</v>
      </c>
      <c r="D2551" s="1">
        <v>0</v>
      </c>
    </row>
    <row r="2552" spans="1:4" x14ac:dyDescent="0.25">
      <c r="A2552" s="2">
        <v>37438</v>
      </c>
      <c r="B2552" s="1" t="s">
        <v>16</v>
      </c>
      <c r="C2552" s="1">
        <v>911.1</v>
      </c>
      <c r="D2552" s="1">
        <v>0</v>
      </c>
    </row>
    <row r="2553" spans="1:4" x14ac:dyDescent="0.25">
      <c r="A2553" s="2">
        <v>37469</v>
      </c>
      <c r="B2553" s="1" t="s">
        <v>16</v>
      </c>
      <c r="C2553" s="1">
        <v>910.4</v>
      </c>
      <c r="D2553" s="1">
        <v>0</v>
      </c>
    </row>
    <row r="2554" spans="1:4" x14ac:dyDescent="0.25">
      <c r="A2554" s="2">
        <v>37500</v>
      </c>
      <c r="B2554" s="1" t="s">
        <v>16</v>
      </c>
      <c r="C2554" s="1">
        <v>910.2</v>
      </c>
      <c r="D2554" s="1">
        <v>0</v>
      </c>
    </row>
    <row r="2555" spans="1:4" x14ac:dyDescent="0.25">
      <c r="A2555" s="2">
        <v>37530</v>
      </c>
      <c r="B2555" s="1" t="s">
        <v>16</v>
      </c>
      <c r="C2555" s="1">
        <v>911.2</v>
      </c>
      <c r="D2555" s="1">
        <v>0</v>
      </c>
    </row>
    <row r="2556" spans="1:4" x14ac:dyDescent="0.25">
      <c r="A2556" s="2">
        <v>37561</v>
      </c>
      <c r="B2556" s="1" t="s">
        <v>16</v>
      </c>
      <c r="C2556" s="1">
        <v>909.9</v>
      </c>
      <c r="D2556" s="1">
        <v>0</v>
      </c>
    </row>
    <row r="2557" spans="1:4" x14ac:dyDescent="0.25">
      <c r="A2557" s="2">
        <v>37591</v>
      </c>
      <c r="B2557" s="1" t="s">
        <v>16</v>
      </c>
      <c r="C2557" s="1">
        <v>911.1</v>
      </c>
      <c r="D2557" s="1">
        <v>0</v>
      </c>
    </row>
    <row r="2558" spans="1:4" x14ac:dyDescent="0.25">
      <c r="A2558" s="2">
        <v>37622</v>
      </c>
      <c r="B2558" s="1" t="s">
        <v>16</v>
      </c>
      <c r="C2558" s="1">
        <v>915.7</v>
      </c>
      <c r="D2558" s="1">
        <v>0</v>
      </c>
    </row>
    <row r="2559" spans="1:4" x14ac:dyDescent="0.25">
      <c r="A2559" s="2">
        <v>37653</v>
      </c>
      <c r="B2559" s="1" t="s">
        <v>16</v>
      </c>
      <c r="C2559" s="1">
        <v>914</v>
      </c>
      <c r="D2559" s="1">
        <v>0</v>
      </c>
    </row>
    <row r="2560" spans="1:4" x14ac:dyDescent="0.25">
      <c r="A2560" s="2">
        <v>37681</v>
      </c>
      <c r="B2560" s="1" t="s">
        <v>16</v>
      </c>
      <c r="C2560" s="1">
        <v>911.5</v>
      </c>
      <c r="D2560" s="1">
        <v>0</v>
      </c>
    </row>
    <row r="2561" spans="1:4" x14ac:dyDescent="0.25">
      <c r="A2561" s="2">
        <v>37712</v>
      </c>
      <c r="B2561" s="1" t="s">
        <v>16</v>
      </c>
      <c r="C2561" s="1">
        <v>915.4</v>
      </c>
      <c r="D2561" s="1">
        <v>0</v>
      </c>
    </row>
    <row r="2562" spans="1:4" x14ac:dyDescent="0.25">
      <c r="A2562" s="2">
        <v>37742</v>
      </c>
      <c r="B2562" s="1" t="s">
        <v>16</v>
      </c>
      <c r="C2562" s="1">
        <v>914</v>
      </c>
      <c r="D2562" s="1">
        <v>0</v>
      </c>
    </row>
    <row r="2563" spans="1:4" x14ac:dyDescent="0.25">
      <c r="A2563" s="2">
        <v>37773</v>
      </c>
      <c r="B2563" s="1" t="s">
        <v>16</v>
      </c>
      <c r="C2563" s="1">
        <v>914.3</v>
      </c>
      <c r="D2563" s="1">
        <v>0</v>
      </c>
    </row>
    <row r="2564" spans="1:4" x14ac:dyDescent="0.25">
      <c r="A2564" s="2">
        <v>37803</v>
      </c>
      <c r="B2564" s="1" t="s">
        <v>16</v>
      </c>
      <c r="C2564" s="1">
        <v>911.5</v>
      </c>
      <c r="D2564" s="1">
        <v>0</v>
      </c>
    </row>
    <row r="2565" spans="1:4" x14ac:dyDescent="0.25">
      <c r="A2565" s="2">
        <v>37834</v>
      </c>
      <c r="B2565" s="1" t="s">
        <v>16</v>
      </c>
      <c r="C2565" s="1">
        <v>911</v>
      </c>
      <c r="D2565" s="1">
        <v>0</v>
      </c>
    </row>
    <row r="2566" spans="1:4" x14ac:dyDescent="0.25">
      <c r="A2566" s="2">
        <v>37865</v>
      </c>
      <c r="B2566" s="1" t="s">
        <v>16</v>
      </c>
      <c r="C2566" s="1">
        <v>911.3</v>
      </c>
      <c r="D2566" s="1">
        <v>0</v>
      </c>
    </row>
    <row r="2567" spans="1:4" x14ac:dyDescent="0.25">
      <c r="A2567" s="2">
        <v>37895</v>
      </c>
      <c r="B2567" s="1" t="s">
        <v>16</v>
      </c>
      <c r="C2567" s="1">
        <v>913.3</v>
      </c>
      <c r="D2567" s="1">
        <v>0</v>
      </c>
    </row>
    <row r="2568" spans="1:4" x14ac:dyDescent="0.25">
      <c r="A2568" s="2">
        <v>37926</v>
      </c>
      <c r="B2568" s="1" t="s">
        <v>16</v>
      </c>
      <c r="C2568" s="1">
        <v>914.6</v>
      </c>
      <c r="D2568" s="1">
        <v>0</v>
      </c>
    </row>
    <row r="2569" spans="1:4" x14ac:dyDescent="0.25">
      <c r="A2569" s="2">
        <v>37956</v>
      </c>
      <c r="B2569" s="1" t="s">
        <v>16</v>
      </c>
      <c r="C2569" s="1">
        <v>915.6</v>
      </c>
      <c r="D2569" s="1">
        <v>0</v>
      </c>
    </row>
    <row r="2570" spans="1:4" x14ac:dyDescent="0.25">
      <c r="A2570" s="2">
        <v>37987</v>
      </c>
      <c r="B2570" s="1" t="s">
        <v>16</v>
      </c>
      <c r="C2570" s="1">
        <v>916.2</v>
      </c>
      <c r="D2570" s="1">
        <v>0</v>
      </c>
    </row>
    <row r="2571" spans="1:4" x14ac:dyDescent="0.25">
      <c r="A2571" s="2">
        <v>38018</v>
      </c>
      <c r="B2571" s="1" t="s">
        <v>16</v>
      </c>
      <c r="C2571" s="1">
        <v>912.7</v>
      </c>
      <c r="D2571" s="1">
        <v>0</v>
      </c>
    </row>
    <row r="2572" spans="1:4" x14ac:dyDescent="0.25">
      <c r="A2572" s="2">
        <v>38047</v>
      </c>
      <c r="B2572" s="1" t="s">
        <v>16</v>
      </c>
      <c r="C2572" s="1">
        <v>915.4</v>
      </c>
      <c r="D2572" s="1">
        <v>0</v>
      </c>
    </row>
    <row r="2573" spans="1:4" x14ac:dyDescent="0.25">
      <c r="A2573" s="2">
        <v>38078</v>
      </c>
      <c r="B2573" s="1" t="s">
        <v>16</v>
      </c>
      <c r="C2573" s="1">
        <v>919</v>
      </c>
      <c r="D2573" s="1">
        <v>0</v>
      </c>
    </row>
    <row r="2574" spans="1:4" x14ac:dyDescent="0.25">
      <c r="A2574" s="2">
        <v>38108</v>
      </c>
      <c r="B2574" s="1" t="s">
        <v>16</v>
      </c>
      <c r="C2574" s="1">
        <v>919.9</v>
      </c>
      <c r="D2574" s="1">
        <v>0</v>
      </c>
    </row>
    <row r="2575" spans="1:4" x14ac:dyDescent="0.25">
      <c r="A2575" s="2">
        <v>38139</v>
      </c>
      <c r="B2575" s="1" t="s">
        <v>16</v>
      </c>
      <c r="C2575" s="1">
        <v>921.8</v>
      </c>
      <c r="D2575" s="1">
        <v>0</v>
      </c>
    </row>
    <row r="2576" spans="1:4" x14ac:dyDescent="0.25">
      <c r="A2576" s="2">
        <v>38169</v>
      </c>
      <c r="B2576" s="1" t="s">
        <v>16</v>
      </c>
      <c r="C2576" s="1">
        <v>922.4</v>
      </c>
      <c r="D2576" s="1">
        <v>0</v>
      </c>
    </row>
    <row r="2577" spans="1:4" x14ac:dyDescent="0.25">
      <c r="A2577" s="2">
        <v>38200</v>
      </c>
      <c r="B2577" s="1" t="s">
        <v>16</v>
      </c>
      <c r="C2577" s="1">
        <v>925.1</v>
      </c>
      <c r="D2577" s="1">
        <v>0</v>
      </c>
    </row>
    <row r="2578" spans="1:4" x14ac:dyDescent="0.25">
      <c r="A2578" s="2">
        <v>38231</v>
      </c>
      <c r="B2578" s="1" t="s">
        <v>16</v>
      </c>
      <c r="C2578" s="1">
        <v>925.7</v>
      </c>
      <c r="D2578" s="1">
        <v>0</v>
      </c>
    </row>
    <row r="2579" spans="1:4" x14ac:dyDescent="0.25">
      <c r="A2579" s="2">
        <v>38261</v>
      </c>
      <c r="B2579" s="1" t="s">
        <v>16</v>
      </c>
      <c r="C2579" s="1">
        <v>925.6</v>
      </c>
      <c r="D2579" s="1">
        <v>0</v>
      </c>
    </row>
    <row r="2580" spans="1:4" x14ac:dyDescent="0.25">
      <c r="A2580" s="2">
        <v>38292</v>
      </c>
      <c r="B2580" s="1" t="s">
        <v>16</v>
      </c>
      <c r="C2580" s="1">
        <v>926.1</v>
      </c>
      <c r="D2580" s="1">
        <v>0</v>
      </c>
    </row>
    <row r="2581" spans="1:4" x14ac:dyDescent="0.25">
      <c r="A2581" s="2">
        <v>38322</v>
      </c>
      <c r="B2581" s="1" t="s">
        <v>16</v>
      </c>
      <c r="C2581" s="1">
        <v>927.6</v>
      </c>
      <c r="D2581" s="1">
        <v>0</v>
      </c>
    </row>
    <row r="2582" spans="1:4" x14ac:dyDescent="0.25">
      <c r="A2582" s="2">
        <v>38353</v>
      </c>
      <c r="B2582" s="1" t="s">
        <v>16</v>
      </c>
      <c r="C2582" s="1">
        <v>926.7</v>
      </c>
      <c r="D2582" s="1">
        <v>0</v>
      </c>
    </row>
    <row r="2583" spans="1:4" x14ac:dyDescent="0.25">
      <c r="A2583" s="2">
        <v>38384</v>
      </c>
      <c r="B2583" s="1" t="s">
        <v>16</v>
      </c>
      <c r="C2583" s="1">
        <v>929.8</v>
      </c>
      <c r="D2583" s="1">
        <v>0</v>
      </c>
    </row>
    <row r="2584" spans="1:4" x14ac:dyDescent="0.25">
      <c r="A2584" s="2">
        <v>38412</v>
      </c>
      <c r="B2584" s="1" t="s">
        <v>16</v>
      </c>
      <c r="C2584" s="1">
        <v>932</v>
      </c>
      <c r="D2584" s="1">
        <v>0</v>
      </c>
    </row>
    <row r="2585" spans="1:4" x14ac:dyDescent="0.25">
      <c r="A2585" s="2">
        <v>38443</v>
      </c>
      <c r="B2585" s="1" t="s">
        <v>16</v>
      </c>
      <c r="C2585" s="1">
        <v>932.5</v>
      </c>
      <c r="D2585" s="1">
        <v>0</v>
      </c>
    </row>
    <row r="2586" spans="1:4" x14ac:dyDescent="0.25">
      <c r="A2586" s="2">
        <v>38473</v>
      </c>
      <c r="B2586" s="1" t="s">
        <v>16</v>
      </c>
      <c r="C2586" s="1">
        <v>932.2</v>
      </c>
      <c r="D2586" s="1">
        <v>0</v>
      </c>
    </row>
    <row r="2587" spans="1:4" x14ac:dyDescent="0.25">
      <c r="A2587" s="2">
        <v>38504</v>
      </c>
      <c r="B2587" s="1" t="s">
        <v>16</v>
      </c>
      <c r="C2587" s="1">
        <v>933.3</v>
      </c>
      <c r="D2587" s="1">
        <v>0</v>
      </c>
    </row>
    <row r="2588" spans="1:4" x14ac:dyDescent="0.25">
      <c r="A2588" s="2">
        <v>38534</v>
      </c>
      <c r="B2588" s="1" t="s">
        <v>16</v>
      </c>
      <c r="C2588" s="1">
        <v>936.2</v>
      </c>
      <c r="D2588" s="1">
        <v>0</v>
      </c>
    </row>
    <row r="2589" spans="1:4" x14ac:dyDescent="0.25">
      <c r="A2589" s="2">
        <v>38565</v>
      </c>
      <c r="B2589" s="1" t="s">
        <v>16</v>
      </c>
      <c r="C2589" s="1">
        <v>936.1</v>
      </c>
      <c r="D2589" s="1">
        <v>0</v>
      </c>
    </row>
    <row r="2590" spans="1:4" x14ac:dyDescent="0.25">
      <c r="A2590" s="2">
        <v>38596</v>
      </c>
      <c r="B2590" s="1" t="s">
        <v>16</v>
      </c>
      <c r="C2590" s="1">
        <v>937.6</v>
      </c>
      <c r="D2590" s="1">
        <v>0</v>
      </c>
    </row>
    <row r="2591" spans="1:4" x14ac:dyDescent="0.25">
      <c r="A2591" s="2">
        <v>38626</v>
      </c>
      <c r="B2591" s="1" t="s">
        <v>16</v>
      </c>
      <c r="C2591" s="1">
        <v>938</v>
      </c>
      <c r="D2591" s="1">
        <v>0</v>
      </c>
    </row>
    <row r="2592" spans="1:4" x14ac:dyDescent="0.25">
      <c r="A2592" s="2">
        <v>38657</v>
      </c>
      <c r="B2592" s="1" t="s">
        <v>16</v>
      </c>
      <c r="C2592" s="1">
        <v>938.7</v>
      </c>
      <c r="D2592" s="1">
        <v>0</v>
      </c>
    </row>
    <row r="2593" spans="1:4" x14ac:dyDescent="0.25">
      <c r="A2593" s="2">
        <v>38687</v>
      </c>
      <c r="B2593" s="1" t="s">
        <v>16</v>
      </c>
      <c r="C2593" s="1">
        <v>938.7</v>
      </c>
      <c r="D2593" s="1">
        <v>0</v>
      </c>
    </row>
    <row r="2594" spans="1:4" x14ac:dyDescent="0.25">
      <c r="A2594" s="2">
        <v>38718</v>
      </c>
      <c r="B2594" s="1" t="s">
        <v>16</v>
      </c>
      <c r="C2594" s="1">
        <v>940.2</v>
      </c>
      <c r="D2594" s="1">
        <v>0</v>
      </c>
    </row>
    <row r="2595" spans="1:4" x14ac:dyDescent="0.25">
      <c r="A2595" s="2">
        <v>38749</v>
      </c>
      <c r="B2595" s="1" t="s">
        <v>16</v>
      </c>
      <c r="C2595" s="1">
        <v>943.5</v>
      </c>
      <c r="D2595" s="1">
        <v>0</v>
      </c>
    </row>
    <row r="2596" spans="1:4" x14ac:dyDescent="0.25">
      <c r="A2596" s="2">
        <v>38777</v>
      </c>
      <c r="B2596" s="1" t="s">
        <v>16</v>
      </c>
      <c r="C2596" s="1">
        <v>943.8</v>
      </c>
      <c r="D2596" s="1">
        <v>0</v>
      </c>
    </row>
    <row r="2597" spans="1:4" x14ac:dyDescent="0.25">
      <c r="A2597" s="2">
        <v>38808</v>
      </c>
      <c r="B2597" s="1" t="s">
        <v>16</v>
      </c>
      <c r="C2597" s="1">
        <v>942.5</v>
      </c>
      <c r="D2597" s="1">
        <v>0</v>
      </c>
    </row>
    <row r="2598" spans="1:4" x14ac:dyDescent="0.25">
      <c r="A2598" s="2">
        <v>38838</v>
      </c>
      <c r="B2598" s="1" t="s">
        <v>16</v>
      </c>
      <c r="C2598" s="1">
        <v>942.8</v>
      </c>
      <c r="D2598" s="1">
        <v>0</v>
      </c>
    </row>
    <row r="2599" spans="1:4" x14ac:dyDescent="0.25">
      <c r="A2599" s="2">
        <v>38869</v>
      </c>
      <c r="B2599" s="1" t="s">
        <v>16</v>
      </c>
      <c r="C2599" s="1">
        <v>945.9</v>
      </c>
      <c r="D2599" s="1">
        <v>0</v>
      </c>
    </row>
    <row r="2600" spans="1:4" x14ac:dyDescent="0.25">
      <c r="A2600" s="2">
        <v>38899</v>
      </c>
      <c r="B2600" s="1" t="s">
        <v>16</v>
      </c>
      <c r="C2600" s="1">
        <v>945.4</v>
      </c>
      <c r="D2600" s="1">
        <v>0</v>
      </c>
    </row>
    <row r="2601" spans="1:4" x14ac:dyDescent="0.25">
      <c r="A2601" s="2">
        <v>38930</v>
      </c>
      <c r="B2601" s="1" t="s">
        <v>16</v>
      </c>
      <c r="C2601" s="1">
        <v>946.4</v>
      </c>
      <c r="D2601" s="1">
        <v>0</v>
      </c>
    </row>
    <row r="2602" spans="1:4" x14ac:dyDescent="0.25">
      <c r="A2602" s="2">
        <v>38961</v>
      </c>
      <c r="B2602" s="1" t="s">
        <v>16</v>
      </c>
      <c r="C2602" s="1">
        <v>948.9</v>
      </c>
      <c r="D2602" s="1">
        <v>0</v>
      </c>
    </row>
    <row r="2603" spans="1:4" x14ac:dyDescent="0.25">
      <c r="A2603" s="2">
        <v>38991</v>
      </c>
      <c r="B2603" s="1" t="s">
        <v>16</v>
      </c>
      <c r="C2603" s="1">
        <v>948.1</v>
      </c>
      <c r="D2603" s="1">
        <v>0</v>
      </c>
    </row>
    <row r="2604" spans="1:4" x14ac:dyDescent="0.25">
      <c r="A2604" s="2">
        <v>39022</v>
      </c>
      <c r="B2604" s="1" t="s">
        <v>16</v>
      </c>
      <c r="C2604" s="1">
        <v>950.4</v>
      </c>
      <c r="D2604" s="1">
        <v>0</v>
      </c>
    </row>
    <row r="2605" spans="1:4" x14ac:dyDescent="0.25">
      <c r="A2605" s="2">
        <v>39052</v>
      </c>
      <c r="B2605" s="1" t="s">
        <v>16</v>
      </c>
      <c r="C2605" s="1">
        <v>951.8</v>
      </c>
      <c r="D2605" s="1">
        <v>0</v>
      </c>
    </row>
    <row r="2606" spans="1:4" x14ac:dyDescent="0.25">
      <c r="A2606" s="2">
        <v>39083</v>
      </c>
      <c r="B2606" s="1" t="s">
        <v>16</v>
      </c>
      <c r="C2606" s="1">
        <v>953.9</v>
      </c>
      <c r="D2606" s="1">
        <v>0</v>
      </c>
    </row>
    <row r="2607" spans="1:4" x14ac:dyDescent="0.25">
      <c r="A2607" s="2">
        <v>39114</v>
      </c>
      <c r="B2607" s="1" t="s">
        <v>16</v>
      </c>
      <c r="C2607" s="1">
        <v>954.9</v>
      </c>
      <c r="D2607" s="1">
        <v>0</v>
      </c>
    </row>
    <row r="2608" spans="1:4" x14ac:dyDescent="0.25">
      <c r="A2608" s="2">
        <v>39142</v>
      </c>
      <c r="B2608" s="1" t="s">
        <v>16</v>
      </c>
      <c r="C2608" s="1">
        <v>955.5</v>
      </c>
      <c r="D2608" s="1">
        <v>0</v>
      </c>
    </row>
    <row r="2609" spans="1:4" x14ac:dyDescent="0.25">
      <c r="A2609" s="2">
        <v>39173</v>
      </c>
      <c r="B2609" s="1" t="s">
        <v>16</v>
      </c>
      <c r="C2609" s="1">
        <v>957.7</v>
      </c>
      <c r="D2609" s="1">
        <v>0</v>
      </c>
    </row>
    <row r="2610" spans="1:4" x14ac:dyDescent="0.25">
      <c r="A2610" s="2">
        <v>39203</v>
      </c>
      <c r="B2610" s="1" t="s">
        <v>16</v>
      </c>
      <c r="C2610" s="1">
        <v>960</v>
      </c>
      <c r="D2610" s="1">
        <v>0</v>
      </c>
    </row>
    <row r="2611" spans="1:4" x14ac:dyDescent="0.25">
      <c r="A2611" s="2">
        <v>39234</v>
      </c>
      <c r="B2611" s="1" t="s">
        <v>16</v>
      </c>
      <c r="C2611" s="1">
        <v>961.9</v>
      </c>
      <c r="D2611" s="1">
        <v>0</v>
      </c>
    </row>
    <row r="2612" spans="1:4" x14ac:dyDescent="0.25">
      <c r="A2612" s="2">
        <v>39264</v>
      </c>
      <c r="B2612" s="1" t="s">
        <v>16</v>
      </c>
      <c r="C2612" s="1">
        <v>963.1</v>
      </c>
      <c r="D2612" s="1">
        <v>0</v>
      </c>
    </row>
    <row r="2613" spans="1:4" x14ac:dyDescent="0.25">
      <c r="A2613" s="2">
        <v>39295</v>
      </c>
      <c r="B2613" s="1" t="s">
        <v>16</v>
      </c>
      <c r="C2613" s="1">
        <v>964.7</v>
      </c>
      <c r="D2613" s="1">
        <v>0</v>
      </c>
    </row>
    <row r="2614" spans="1:4" x14ac:dyDescent="0.25">
      <c r="A2614" s="2">
        <v>39326</v>
      </c>
      <c r="B2614" s="1" t="s">
        <v>16</v>
      </c>
      <c r="C2614" s="1">
        <v>965</v>
      </c>
      <c r="D2614" s="1">
        <v>0</v>
      </c>
    </row>
    <row r="2615" spans="1:4" x14ac:dyDescent="0.25">
      <c r="A2615" s="2">
        <v>39356</v>
      </c>
      <c r="B2615" s="1" t="s">
        <v>16</v>
      </c>
      <c r="C2615" s="1">
        <v>966.9</v>
      </c>
      <c r="D2615" s="1">
        <v>0</v>
      </c>
    </row>
    <row r="2616" spans="1:4" x14ac:dyDescent="0.25">
      <c r="A2616" s="2">
        <v>39387</v>
      </c>
      <c r="B2616" s="1" t="s">
        <v>16</v>
      </c>
      <c r="C2616" s="1">
        <v>967.4</v>
      </c>
      <c r="D2616" s="1">
        <v>0</v>
      </c>
    </row>
    <row r="2617" spans="1:4" x14ac:dyDescent="0.25">
      <c r="A2617" s="2">
        <v>39417</v>
      </c>
      <c r="B2617" s="1" t="s">
        <v>16</v>
      </c>
      <c r="C2617" s="1">
        <v>968.2</v>
      </c>
      <c r="D2617" s="1">
        <v>0</v>
      </c>
    </row>
    <row r="2618" spans="1:4" x14ac:dyDescent="0.25">
      <c r="A2618" s="2">
        <v>39448</v>
      </c>
      <c r="B2618" s="1" t="s">
        <v>16</v>
      </c>
      <c r="C2618" s="1">
        <v>971.6</v>
      </c>
      <c r="D2618" s="1">
        <v>0</v>
      </c>
    </row>
    <row r="2619" spans="1:4" x14ac:dyDescent="0.25">
      <c r="A2619" s="2">
        <v>39479</v>
      </c>
      <c r="B2619" s="1" t="s">
        <v>16</v>
      </c>
      <c r="C2619" s="1">
        <v>970.7</v>
      </c>
      <c r="D2619" s="1">
        <v>0</v>
      </c>
    </row>
    <row r="2620" spans="1:4" x14ac:dyDescent="0.25">
      <c r="A2620" s="2">
        <v>39508</v>
      </c>
      <c r="B2620" s="1" t="s">
        <v>16</v>
      </c>
      <c r="C2620" s="1">
        <v>971.2</v>
      </c>
      <c r="D2620" s="1">
        <v>0</v>
      </c>
    </row>
    <row r="2621" spans="1:4" x14ac:dyDescent="0.25">
      <c r="A2621" s="2">
        <v>39539</v>
      </c>
      <c r="B2621" s="1" t="s">
        <v>16</v>
      </c>
      <c r="C2621" s="1">
        <v>970.4</v>
      </c>
      <c r="D2621" s="1">
        <v>0</v>
      </c>
    </row>
    <row r="2622" spans="1:4" x14ac:dyDescent="0.25">
      <c r="A2622" s="2">
        <v>39569</v>
      </c>
      <c r="B2622" s="1" t="s">
        <v>16</v>
      </c>
      <c r="C2622" s="1">
        <v>970.7</v>
      </c>
      <c r="D2622" s="1">
        <v>0</v>
      </c>
    </row>
    <row r="2623" spans="1:4" x14ac:dyDescent="0.25">
      <c r="A2623" s="2">
        <v>39600</v>
      </c>
      <c r="B2623" s="1" t="s">
        <v>16</v>
      </c>
      <c r="C2623" s="1">
        <v>969.2</v>
      </c>
      <c r="D2623" s="1">
        <v>0</v>
      </c>
    </row>
    <row r="2624" spans="1:4" x14ac:dyDescent="0.25">
      <c r="A2624" s="2">
        <v>39630</v>
      </c>
      <c r="B2624" s="1" t="s">
        <v>16</v>
      </c>
      <c r="C2624" s="1">
        <v>967.9</v>
      </c>
      <c r="D2624" s="1">
        <v>0</v>
      </c>
    </row>
    <row r="2625" spans="1:4" x14ac:dyDescent="0.25">
      <c r="A2625" s="2">
        <v>39661</v>
      </c>
      <c r="B2625" s="1" t="s">
        <v>16</v>
      </c>
      <c r="C2625" s="1">
        <v>969</v>
      </c>
      <c r="D2625" s="1">
        <v>0</v>
      </c>
    </row>
    <row r="2626" spans="1:4" x14ac:dyDescent="0.25">
      <c r="A2626" s="2">
        <v>39692</v>
      </c>
      <c r="B2626" s="1" t="s">
        <v>16</v>
      </c>
      <c r="C2626" s="1">
        <v>968.1</v>
      </c>
      <c r="D2626" s="1">
        <v>0</v>
      </c>
    </row>
    <row r="2627" spans="1:4" x14ac:dyDescent="0.25">
      <c r="A2627" s="2">
        <v>39722</v>
      </c>
      <c r="B2627" s="1" t="s">
        <v>16</v>
      </c>
      <c r="C2627" s="1">
        <v>969.3</v>
      </c>
      <c r="D2627" s="1">
        <v>0</v>
      </c>
    </row>
    <row r="2628" spans="1:4" x14ac:dyDescent="0.25">
      <c r="A2628" s="2">
        <v>39753</v>
      </c>
      <c r="B2628" s="1" t="s">
        <v>16</v>
      </c>
      <c r="C2628" s="1">
        <v>968</v>
      </c>
      <c r="D2628" s="1">
        <v>0</v>
      </c>
    </row>
    <row r="2629" spans="1:4" x14ac:dyDescent="0.25">
      <c r="A2629" s="2">
        <v>39783</v>
      </c>
      <c r="B2629" s="1" t="s">
        <v>16</v>
      </c>
      <c r="C2629" s="1">
        <v>967</v>
      </c>
      <c r="D2629" s="1">
        <v>0</v>
      </c>
    </row>
    <row r="2630" spans="1:4" x14ac:dyDescent="0.25">
      <c r="A2630" s="2">
        <v>39814</v>
      </c>
      <c r="B2630" s="1" t="s">
        <v>16</v>
      </c>
      <c r="C2630" s="1">
        <v>962.6</v>
      </c>
      <c r="D2630" s="1">
        <v>0</v>
      </c>
    </row>
    <row r="2631" spans="1:4" x14ac:dyDescent="0.25">
      <c r="A2631" s="2">
        <v>39845</v>
      </c>
      <c r="B2631" s="1" t="s">
        <v>16</v>
      </c>
      <c r="C2631" s="1">
        <v>959.5</v>
      </c>
      <c r="D2631" s="1">
        <v>0</v>
      </c>
    </row>
    <row r="2632" spans="1:4" x14ac:dyDescent="0.25">
      <c r="A2632" s="2">
        <v>39873</v>
      </c>
      <c r="B2632" s="1" t="s">
        <v>16</v>
      </c>
      <c r="C2632" s="1">
        <v>956.3</v>
      </c>
      <c r="D2632" s="1">
        <v>0</v>
      </c>
    </row>
    <row r="2633" spans="1:4" x14ac:dyDescent="0.25">
      <c r="A2633" s="2">
        <v>39904</v>
      </c>
      <c r="B2633" s="1" t="s">
        <v>16</v>
      </c>
      <c r="C2633" s="1">
        <v>949.8</v>
      </c>
      <c r="D2633" s="1">
        <v>0</v>
      </c>
    </row>
    <row r="2634" spans="1:4" x14ac:dyDescent="0.25">
      <c r="A2634" s="2">
        <v>39934</v>
      </c>
      <c r="B2634" s="1" t="s">
        <v>16</v>
      </c>
      <c r="C2634" s="1">
        <v>950</v>
      </c>
      <c r="D2634" s="1">
        <v>0</v>
      </c>
    </row>
    <row r="2635" spans="1:4" x14ac:dyDescent="0.25">
      <c r="A2635" s="2">
        <v>39965</v>
      </c>
      <c r="B2635" s="1" t="s">
        <v>16</v>
      </c>
      <c r="C2635" s="1">
        <v>947.7</v>
      </c>
      <c r="D2635" s="1">
        <v>0</v>
      </c>
    </row>
    <row r="2636" spans="1:4" x14ac:dyDescent="0.25">
      <c r="A2636" s="2">
        <v>39995</v>
      </c>
      <c r="B2636" s="1" t="s">
        <v>16</v>
      </c>
      <c r="C2636" s="1">
        <v>949.3</v>
      </c>
      <c r="D2636" s="1">
        <v>0</v>
      </c>
    </row>
    <row r="2637" spans="1:4" x14ac:dyDescent="0.25">
      <c r="A2637" s="2">
        <v>40026</v>
      </c>
      <c r="B2637" s="1" t="s">
        <v>16</v>
      </c>
      <c r="C2637" s="1">
        <v>946.2</v>
      </c>
      <c r="D2637" s="1">
        <v>0</v>
      </c>
    </row>
    <row r="2638" spans="1:4" x14ac:dyDescent="0.25">
      <c r="A2638" s="2">
        <v>40057</v>
      </c>
      <c r="B2638" s="1" t="s">
        <v>16</v>
      </c>
      <c r="C2638" s="1">
        <v>944</v>
      </c>
      <c r="D2638" s="1">
        <v>0</v>
      </c>
    </row>
    <row r="2639" spans="1:4" x14ac:dyDescent="0.25">
      <c r="A2639" s="2">
        <v>40087</v>
      </c>
      <c r="B2639" s="1" t="s">
        <v>16</v>
      </c>
      <c r="C2639" s="1">
        <v>941.9</v>
      </c>
      <c r="D2639" s="1">
        <v>0</v>
      </c>
    </row>
    <row r="2640" spans="1:4" x14ac:dyDescent="0.25">
      <c r="A2640" s="2">
        <v>40118</v>
      </c>
      <c r="B2640" s="1" t="s">
        <v>16</v>
      </c>
      <c r="C2640" s="1">
        <v>942.7</v>
      </c>
      <c r="D2640" s="1">
        <v>0</v>
      </c>
    </row>
    <row r="2641" spans="1:4" x14ac:dyDescent="0.25">
      <c r="A2641" s="2">
        <v>40148</v>
      </c>
      <c r="B2641" s="1" t="s">
        <v>16</v>
      </c>
      <c r="C2641" s="1">
        <v>939.4</v>
      </c>
      <c r="D2641" s="1">
        <v>0</v>
      </c>
    </row>
    <row r="2642" spans="1:4" x14ac:dyDescent="0.25">
      <c r="A2642" s="2">
        <v>40179</v>
      </c>
      <c r="B2642" s="1" t="s">
        <v>16</v>
      </c>
      <c r="C2642" s="1">
        <v>939.6</v>
      </c>
      <c r="D2642" s="1">
        <v>0</v>
      </c>
    </row>
    <row r="2643" spans="1:4" x14ac:dyDescent="0.25">
      <c r="A2643" s="2">
        <v>40210</v>
      </c>
      <c r="B2643" s="1" t="s">
        <v>16</v>
      </c>
      <c r="C2643" s="1">
        <v>940.5</v>
      </c>
      <c r="D2643" s="1">
        <v>0</v>
      </c>
    </row>
    <row r="2644" spans="1:4" x14ac:dyDescent="0.25">
      <c r="A2644" s="2">
        <v>40238</v>
      </c>
      <c r="B2644" s="1" t="s">
        <v>16</v>
      </c>
      <c r="C2644" s="1">
        <v>940.7</v>
      </c>
      <c r="D2644" s="1">
        <v>0</v>
      </c>
    </row>
    <row r="2645" spans="1:4" x14ac:dyDescent="0.25">
      <c r="A2645" s="2">
        <v>40269</v>
      </c>
      <c r="B2645" s="1" t="s">
        <v>16</v>
      </c>
      <c r="C2645" s="1">
        <v>942.8</v>
      </c>
      <c r="D2645" s="1">
        <v>0</v>
      </c>
    </row>
    <row r="2646" spans="1:4" x14ac:dyDescent="0.25">
      <c r="A2646" s="2">
        <v>40299</v>
      </c>
      <c r="B2646" s="1" t="s">
        <v>16</v>
      </c>
      <c r="C2646" s="1">
        <v>945.2</v>
      </c>
      <c r="D2646" s="1">
        <v>0</v>
      </c>
    </row>
    <row r="2647" spans="1:4" x14ac:dyDescent="0.25">
      <c r="A2647" s="2">
        <v>40330</v>
      </c>
      <c r="B2647" s="1" t="s">
        <v>16</v>
      </c>
      <c r="C2647" s="1">
        <v>947.3</v>
      </c>
      <c r="D2647" s="1">
        <v>0</v>
      </c>
    </row>
    <row r="2648" spans="1:4" x14ac:dyDescent="0.25">
      <c r="A2648" s="2">
        <v>40360</v>
      </c>
      <c r="B2648" s="1" t="s">
        <v>16</v>
      </c>
      <c r="C2648" s="1">
        <v>948.5</v>
      </c>
      <c r="D2648" s="1">
        <v>0</v>
      </c>
    </row>
    <row r="2649" spans="1:4" x14ac:dyDescent="0.25">
      <c r="A2649" s="2">
        <v>40391</v>
      </c>
      <c r="B2649" s="1" t="s">
        <v>16</v>
      </c>
      <c r="C2649" s="1">
        <v>948.1</v>
      </c>
      <c r="D2649" s="1">
        <v>0</v>
      </c>
    </row>
    <row r="2650" spans="1:4" x14ac:dyDescent="0.25">
      <c r="A2650" s="2">
        <v>40422</v>
      </c>
      <c r="B2650" s="1" t="s">
        <v>16</v>
      </c>
      <c r="C2650" s="1">
        <v>945.7</v>
      </c>
      <c r="D2650" s="1">
        <v>0</v>
      </c>
    </row>
    <row r="2651" spans="1:4" x14ac:dyDescent="0.25">
      <c r="A2651" s="2">
        <v>40452</v>
      </c>
      <c r="B2651" s="1" t="s">
        <v>16</v>
      </c>
      <c r="C2651" s="1">
        <v>947.8</v>
      </c>
      <c r="D2651" s="1">
        <v>0</v>
      </c>
    </row>
    <row r="2652" spans="1:4" x14ac:dyDescent="0.25">
      <c r="A2652" s="2">
        <v>40483</v>
      </c>
      <c r="B2652" s="1" t="s">
        <v>16</v>
      </c>
      <c r="C2652" s="1">
        <v>946.1</v>
      </c>
      <c r="D2652" s="1">
        <v>0</v>
      </c>
    </row>
    <row r="2653" spans="1:4" x14ac:dyDescent="0.25">
      <c r="A2653" s="2">
        <v>40513</v>
      </c>
      <c r="B2653" s="1" t="s">
        <v>16</v>
      </c>
      <c r="C2653" s="1">
        <v>948</v>
      </c>
      <c r="D2653" s="1">
        <v>0</v>
      </c>
    </row>
    <row r="2654" spans="1:4" x14ac:dyDescent="0.25">
      <c r="A2654" s="2">
        <v>40544</v>
      </c>
      <c r="B2654" s="1" t="s">
        <v>16</v>
      </c>
      <c r="C2654" s="1">
        <v>947.4</v>
      </c>
      <c r="D2654" s="1">
        <v>0</v>
      </c>
    </row>
    <row r="2655" spans="1:4" x14ac:dyDescent="0.25">
      <c r="A2655" s="2">
        <v>40575</v>
      </c>
      <c r="B2655" s="1" t="s">
        <v>16</v>
      </c>
      <c r="C2655" s="1">
        <v>947.3</v>
      </c>
      <c r="D2655" s="1">
        <v>0</v>
      </c>
    </row>
    <row r="2656" spans="1:4" x14ac:dyDescent="0.25">
      <c r="A2656" s="2">
        <v>40603</v>
      </c>
      <c r="B2656" s="1" t="s">
        <v>16</v>
      </c>
      <c r="C2656" s="1">
        <v>948.3</v>
      </c>
      <c r="D2656" s="1">
        <v>0</v>
      </c>
    </row>
    <row r="2657" spans="1:4" x14ac:dyDescent="0.25">
      <c r="A2657" s="2">
        <v>40634</v>
      </c>
      <c r="B2657" s="1" t="s">
        <v>16</v>
      </c>
      <c r="C2657" s="1">
        <v>951.4</v>
      </c>
      <c r="D2657" s="1">
        <v>0</v>
      </c>
    </row>
    <row r="2658" spans="1:4" x14ac:dyDescent="0.25">
      <c r="A2658" s="2">
        <v>40664</v>
      </c>
      <c r="B2658" s="1" t="s">
        <v>16</v>
      </c>
      <c r="C2658" s="1">
        <v>951.4</v>
      </c>
      <c r="D2658" s="1">
        <v>0</v>
      </c>
    </row>
    <row r="2659" spans="1:4" x14ac:dyDescent="0.25">
      <c r="A2659" s="2">
        <v>40695</v>
      </c>
      <c r="B2659" s="1" t="s">
        <v>16</v>
      </c>
      <c r="C2659" s="1">
        <v>950.4</v>
      </c>
      <c r="D2659" s="1">
        <v>0</v>
      </c>
    </row>
    <row r="2660" spans="1:4" x14ac:dyDescent="0.25">
      <c r="A2660" s="2">
        <v>40725</v>
      </c>
      <c r="B2660" s="1" t="s">
        <v>16</v>
      </c>
      <c r="C2660" s="1">
        <v>952.6</v>
      </c>
      <c r="D2660" s="1">
        <v>0</v>
      </c>
    </row>
    <row r="2661" spans="1:4" x14ac:dyDescent="0.25">
      <c r="A2661" s="2">
        <v>40756</v>
      </c>
      <c r="B2661" s="1" t="s">
        <v>16</v>
      </c>
      <c r="C2661" s="1">
        <v>953.7</v>
      </c>
      <c r="D2661" s="1">
        <v>0</v>
      </c>
    </row>
    <row r="2662" spans="1:4" x14ac:dyDescent="0.25">
      <c r="A2662" s="2">
        <v>40787</v>
      </c>
      <c r="B2662" s="1" t="s">
        <v>16</v>
      </c>
      <c r="C2662" s="1">
        <v>955.6</v>
      </c>
      <c r="D2662" s="1">
        <v>0</v>
      </c>
    </row>
    <row r="2663" spans="1:4" x14ac:dyDescent="0.25">
      <c r="A2663" s="2">
        <v>40817</v>
      </c>
      <c r="B2663" s="1" t="s">
        <v>16</v>
      </c>
      <c r="C2663" s="1">
        <v>956.5</v>
      </c>
      <c r="D2663" s="1">
        <v>0</v>
      </c>
    </row>
    <row r="2664" spans="1:4" x14ac:dyDescent="0.25">
      <c r="A2664" s="2">
        <v>40848</v>
      </c>
      <c r="B2664" s="1" t="s">
        <v>16</v>
      </c>
      <c r="C2664" s="1">
        <v>958.2</v>
      </c>
      <c r="D2664" s="1">
        <v>0</v>
      </c>
    </row>
    <row r="2665" spans="1:4" x14ac:dyDescent="0.25">
      <c r="A2665" s="2">
        <v>40878</v>
      </c>
      <c r="B2665" s="1" t="s">
        <v>16</v>
      </c>
      <c r="C2665" s="1">
        <v>959.5</v>
      </c>
      <c r="D2665" s="1">
        <v>0</v>
      </c>
    </row>
    <row r="2666" spans="1:4" x14ac:dyDescent="0.25">
      <c r="A2666" s="2">
        <v>40909</v>
      </c>
      <c r="B2666" s="1" t="s">
        <v>16</v>
      </c>
      <c r="C2666" s="1">
        <v>963.5</v>
      </c>
      <c r="D2666" s="1">
        <v>0</v>
      </c>
    </row>
    <row r="2667" spans="1:4" x14ac:dyDescent="0.25">
      <c r="A2667" s="2">
        <v>40940</v>
      </c>
      <c r="B2667" s="1" t="s">
        <v>16</v>
      </c>
      <c r="C2667" s="1">
        <v>963.1</v>
      </c>
      <c r="D2667" s="1">
        <v>0</v>
      </c>
    </row>
    <row r="2668" spans="1:4" x14ac:dyDescent="0.25">
      <c r="A2668" s="2">
        <v>40969</v>
      </c>
      <c r="B2668" s="1" t="s">
        <v>16</v>
      </c>
      <c r="C2668" s="1">
        <v>967.2</v>
      </c>
      <c r="D2668" s="1">
        <v>0</v>
      </c>
    </row>
    <row r="2669" spans="1:4" x14ac:dyDescent="0.25">
      <c r="A2669" s="2">
        <v>41000</v>
      </c>
      <c r="B2669" s="1" t="s">
        <v>16</v>
      </c>
      <c r="C2669" s="1">
        <v>967.9</v>
      </c>
      <c r="D2669" s="1">
        <v>0</v>
      </c>
    </row>
    <row r="2670" spans="1:4" x14ac:dyDescent="0.25">
      <c r="A2670" s="2">
        <v>41030</v>
      </c>
      <c r="B2670" s="1" t="s">
        <v>16</v>
      </c>
      <c r="C2670" s="1">
        <v>968</v>
      </c>
      <c r="D2670" s="1">
        <v>0</v>
      </c>
    </row>
    <row r="2671" spans="1:4" x14ac:dyDescent="0.25">
      <c r="A2671" s="2">
        <v>41061</v>
      </c>
      <c r="B2671" s="1" t="s">
        <v>16</v>
      </c>
      <c r="C2671" s="1">
        <v>967.7</v>
      </c>
      <c r="D2671" s="1">
        <v>0</v>
      </c>
    </row>
    <row r="2672" spans="1:4" x14ac:dyDescent="0.25">
      <c r="A2672" s="2">
        <v>41091</v>
      </c>
      <c r="B2672" s="1" t="s">
        <v>16</v>
      </c>
      <c r="C2672" s="1">
        <v>968.9</v>
      </c>
      <c r="D2672" s="1">
        <v>0</v>
      </c>
    </row>
    <row r="2673" spans="1:4" x14ac:dyDescent="0.25">
      <c r="A2673" s="2">
        <v>41122</v>
      </c>
      <c r="B2673" s="1" t="s">
        <v>16</v>
      </c>
      <c r="C2673" s="1">
        <v>968.7</v>
      </c>
      <c r="D2673" s="1">
        <v>0</v>
      </c>
    </row>
    <row r="2674" spans="1:4" x14ac:dyDescent="0.25">
      <c r="A2674" s="2">
        <v>41153</v>
      </c>
      <c r="B2674" s="1" t="s">
        <v>16</v>
      </c>
      <c r="C2674" s="1">
        <v>970.6</v>
      </c>
      <c r="D2674" s="1">
        <v>0</v>
      </c>
    </row>
    <row r="2675" spans="1:4" x14ac:dyDescent="0.25">
      <c r="A2675" s="2">
        <v>41183</v>
      </c>
      <c r="B2675" s="1" t="s">
        <v>16</v>
      </c>
      <c r="C2675" s="1">
        <v>971.7</v>
      </c>
      <c r="D2675" s="1">
        <v>0</v>
      </c>
    </row>
    <row r="2676" spans="1:4" x14ac:dyDescent="0.25">
      <c r="A2676" s="2">
        <v>41214</v>
      </c>
      <c r="B2676" s="1" t="s">
        <v>16</v>
      </c>
      <c r="C2676" s="1">
        <v>973</v>
      </c>
      <c r="D2676" s="1">
        <v>0</v>
      </c>
    </row>
    <row r="2677" spans="1:4" x14ac:dyDescent="0.25">
      <c r="A2677" s="2">
        <v>41244</v>
      </c>
      <c r="B2677" s="1" t="s">
        <v>16</v>
      </c>
      <c r="C2677" s="1">
        <v>975.7</v>
      </c>
      <c r="D2677" s="1">
        <v>0</v>
      </c>
    </row>
    <row r="2678" spans="1:4" x14ac:dyDescent="0.25">
      <c r="A2678" s="2">
        <v>41275</v>
      </c>
      <c r="B2678" s="1" t="s">
        <v>16</v>
      </c>
      <c r="C2678" s="1">
        <v>974.7</v>
      </c>
      <c r="D2678" s="1">
        <v>0</v>
      </c>
    </row>
    <row r="2679" spans="1:4" x14ac:dyDescent="0.25">
      <c r="A2679" s="2">
        <v>41306</v>
      </c>
      <c r="B2679" s="1" t="s">
        <v>16</v>
      </c>
      <c r="C2679" s="1">
        <v>975.4</v>
      </c>
      <c r="D2679" s="1">
        <v>0</v>
      </c>
    </row>
    <row r="2680" spans="1:4" x14ac:dyDescent="0.25">
      <c r="A2680" s="2">
        <v>41334</v>
      </c>
      <c r="B2680" s="1" t="s">
        <v>16</v>
      </c>
      <c r="C2680" s="1">
        <v>975.6</v>
      </c>
      <c r="D2680" s="1">
        <v>0</v>
      </c>
    </row>
    <row r="2681" spans="1:4" x14ac:dyDescent="0.25">
      <c r="A2681" s="2">
        <v>41365</v>
      </c>
      <c r="B2681" s="1" t="s">
        <v>16</v>
      </c>
      <c r="C2681" s="1">
        <v>974.8</v>
      </c>
      <c r="D2681" s="1">
        <v>0</v>
      </c>
    </row>
    <row r="2682" spans="1:4" x14ac:dyDescent="0.25">
      <c r="A2682" s="2">
        <v>41395</v>
      </c>
      <c r="B2682" s="1" t="s">
        <v>16</v>
      </c>
      <c r="C2682" s="1">
        <v>977.7</v>
      </c>
      <c r="D2682" s="1">
        <v>0</v>
      </c>
    </row>
    <row r="2683" spans="1:4" x14ac:dyDescent="0.25">
      <c r="A2683" s="2">
        <v>41426</v>
      </c>
      <c r="B2683" s="1" t="s">
        <v>16</v>
      </c>
      <c r="C2683" s="1">
        <v>977</v>
      </c>
      <c r="D2683" s="1">
        <v>0</v>
      </c>
    </row>
    <row r="2684" spans="1:4" x14ac:dyDescent="0.25">
      <c r="A2684" s="2">
        <v>41456</v>
      </c>
      <c r="B2684" s="1" t="s">
        <v>16</v>
      </c>
      <c r="C2684" s="1">
        <v>979.1</v>
      </c>
      <c r="D2684" s="1">
        <v>0</v>
      </c>
    </row>
    <row r="2685" spans="1:4" x14ac:dyDescent="0.25">
      <c r="A2685" s="2">
        <v>41487</v>
      </c>
      <c r="B2685" s="1" t="s">
        <v>16</v>
      </c>
      <c r="C2685" s="1">
        <v>980.9</v>
      </c>
      <c r="D2685" s="1">
        <v>0</v>
      </c>
    </row>
    <row r="2686" spans="1:4" x14ac:dyDescent="0.25">
      <c r="A2686" s="2">
        <v>41518</v>
      </c>
      <c r="B2686" s="1" t="s">
        <v>16</v>
      </c>
      <c r="C2686" s="1">
        <v>981.9</v>
      </c>
      <c r="D2686" s="1">
        <v>0</v>
      </c>
    </row>
    <row r="2687" spans="1:4" x14ac:dyDescent="0.25">
      <c r="A2687" s="2">
        <v>41548</v>
      </c>
      <c r="B2687" s="1" t="s">
        <v>16</v>
      </c>
      <c r="C2687" s="1">
        <v>983.5</v>
      </c>
      <c r="D2687" s="1">
        <v>0</v>
      </c>
    </row>
    <row r="2688" spans="1:4" x14ac:dyDescent="0.25">
      <c r="A2688" s="2">
        <v>41579</v>
      </c>
      <c r="B2688" s="1" t="s">
        <v>16</v>
      </c>
      <c r="C2688" s="1">
        <v>983.3</v>
      </c>
      <c r="D2688" s="1">
        <v>0</v>
      </c>
    </row>
    <row r="2689" spans="1:4" x14ac:dyDescent="0.25">
      <c r="A2689" s="2">
        <v>41609</v>
      </c>
      <c r="B2689" s="1" t="s">
        <v>16</v>
      </c>
      <c r="C2689" s="1">
        <v>982.5</v>
      </c>
      <c r="D2689" s="1">
        <v>0</v>
      </c>
    </row>
    <row r="2690" spans="1:4" x14ac:dyDescent="0.25">
      <c r="A2690" s="2">
        <v>41640</v>
      </c>
      <c r="B2690" s="1" t="s">
        <v>16</v>
      </c>
      <c r="C2690" s="1">
        <v>985.6</v>
      </c>
      <c r="D2690" s="1">
        <v>0</v>
      </c>
    </row>
    <row r="2691" spans="1:4" x14ac:dyDescent="0.25">
      <c r="A2691" s="2">
        <v>41671</v>
      </c>
      <c r="B2691" s="1" t="s">
        <v>16</v>
      </c>
      <c r="C2691" s="1">
        <v>988.6</v>
      </c>
      <c r="D2691" s="1">
        <v>0</v>
      </c>
    </row>
    <row r="2692" spans="1:4" x14ac:dyDescent="0.25">
      <c r="A2692" s="2">
        <v>41699</v>
      </c>
      <c r="B2692" s="1" t="s">
        <v>16</v>
      </c>
      <c r="C2692" s="1">
        <v>986.6</v>
      </c>
      <c r="D2692" s="1">
        <v>0</v>
      </c>
    </row>
    <row r="2693" spans="1:4" x14ac:dyDescent="0.25">
      <c r="A2693" s="2">
        <v>41730</v>
      </c>
      <c r="B2693" s="1" t="s">
        <v>16</v>
      </c>
      <c r="C2693" s="1">
        <v>987.2</v>
      </c>
      <c r="D2693" s="1">
        <v>0</v>
      </c>
    </row>
    <row r="2694" spans="1:4" x14ac:dyDescent="0.25">
      <c r="A2694" s="2">
        <v>41760</v>
      </c>
      <c r="B2694" s="1" t="s">
        <v>16</v>
      </c>
      <c r="C2694" s="1">
        <v>986.3</v>
      </c>
      <c r="D2694" s="1">
        <v>0</v>
      </c>
    </row>
    <row r="2695" spans="1:4" x14ac:dyDescent="0.25">
      <c r="A2695" s="2">
        <v>41791</v>
      </c>
      <c r="B2695" s="1" t="s">
        <v>16</v>
      </c>
      <c r="C2695" s="1">
        <v>982.4</v>
      </c>
      <c r="D2695" s="1">
        <v>0</v>
      </c>
    </row>
    <row r="2696" spans="1:4" x14ac:dyDescent="0.25">
      <c r="A2696" s="2">
        <v>41821</v>
      </c>
      <c r="B2696" s="1" t="s">
        <v>16</v>
      </c>
      <c r="C2696" s="1">
        <v>982.1</v>
      </c>
      <c r="D2696" s="1">
        <v>0</v>
      </c>
    </row>
    <row r="2697" spans="1:4" x14ac:dyDescent="0.25">
      <c r="A2697" s="2">
        <v>41852</v>
      </c>
      <c r="B2697" s="1" t="s">
        <v>16</v>
      </c>
      <c r="C2697" s="1">
        <v>987.6</v>
      </c>
      <c r="D2697" s="1">
        <v>0</v>
      </c>
    </row>
    <row r="2698" spans="1:4" x14ac:dyDescent="0.25">
      <c r="A2698" s="2">
        <v>41883</v>
      </c>
      <c r="B2698" s="1" t="s">
        <v>16</v>
      </c>
      <c r="C2698" s="1">
        <v>989.2</v>
      </c>
      <c r="D2698" s="1">
        <v>0</v>
      </c>
    </row>
    <row r="2699" spans="1:4" x14ac:dyDescent="0.25">
      <c r="A2699" s="2">
        <v>41913</v>
      </c>
      <c r="B2699" s="1" t="s">
        <v>16</v>
      </c>
      <c r="C2699" s="1">
        <v>991.9</v>
      </c>
      <c r="D2699" s="1">
        <v>0</v>
      </c>
    </row>
    <row r="2700" spans="1:4" x14ac:dyDescent="0.25">
      <c r="A2700" s="2">
        <v>41944</v>
      </c>
      <c r="B2700" s="1" t="s">
        <v>16</v>
      </c>
      <c r="C2700" s="1">
        <v>990</v>
      </c>
      <c r="D2700" s="1">
        <v>0</v>
      </c>
    </row>
    <row r="2701" spans="1:4" x14ac:dyDescent="0.25">
      <c r="A2701" s="2">
        <v>41974</v>
      </c>
      <c r="B2701" s="1" t="s">
        <v>16</v>
      </c>
      <c r="C2701" s="1">
        <v>990.6</v>
      </c>
      <c r="D2701" s="1">
        <v>0</v>
      </c>
    </row>
    <row r="2702" spans="1:4" x14ac:dyDescent="0.25">
      <c r="A2702" s="2">
        <v>36526</v>
      </c>
      <c r="B2702" s="1" t="s">
        <v>17</v>
      </c>
      <c r="C2702" s="1">
        <v>1339.9</v>
      </c>
      <c r="D2702" s="1">
        <v>0</v>
      </c>
    </row>
    <row r="2703" spans="1:4" x14ac:dyDescent="0.25">
      <c r="A2703" s="2">
        <v>36557</v>
      </c>
      <c r="B2703" s="1" t="s">
        <v>17</v>
      </c>
      <c r="C2703" s="1">
        <v>1337.1</v>
      </c>
      <c r="D2703" s="1">
        <v>0</v>
      </c>
    </row>
    <row r="2704" spans="1:4" x14ac:dyDescent="0.25">
      <c r="A2704" s="2">
        <v>36586</v>
      </c>
      <c r="B2704" s="1" t="s">
        <v>17</v>
      </c>
      <c r="C2704" s="1">
        <v>1340.7</v>
      </c>
      <c r="D2704" s="1">
        <v>0</v>
      </c>
    </row>
    <row r="2705" spans="1:4" x14ac:dyDescent="0.25">
      <c r="A2705" s="2">
        <v>36617</v>
      </c>
      <c r="B2705" s="1" t="s">
        <v>17</v>
      </c>
      <c r="C2705" s="1">
        <v>1346.5</v>
      </c>
      <c r="D2705" s="1">
        <v>0</v>
      </c>
    </row>
    <row r="2706" spans="1:4" x14ac:dyDescent="0.25">
      <c r="A2706" s="2">
        <v>36647</v>
      </c>
      <c r="B2706" s="1" t="s">
        <v>17</v>
      </c>
      <c r="C2706" s="1">
        <v>1349.1</v>
      </c>
      <c r="D2706" s="1">
        <v>0</v>
      </c>
    </row>
    <row r="2707" spans="1:4" x14ac:dyDescent="0.25">
      <c r="A2707" s="2">
        <v>36678</v>
      </c>
      <c r="B2707" s="1" t="s">
        <v>17</v>
      </c>
      <c r="C2707" s="1">
        <v>1348.7</v>
      </c>
      <c r="D2707" s="1">
        <v>0</v>
      </c>
    </row>
    <row r="2708" spans="1:4" x14ac:dyDescent="0.25">
      <c r="A2708" s="2">
        <v>36708</v>
      </c>
      <c r="B2708" s="1" t="s">
        <v>17</v>
      </c>
      <c r="C2708" s="1">
        <v>1345.4</v>
      </c>
      <c r="D2708" s="1">
        <v>0</v>
      </c>
    </row>
    <row r="2709" spans="1:4" x14ac:dyDescent="0.25">
      <c r="A2709" s="2">
        <v>36739</v>
      </c>
      <c r="B2709" s="1" t="s">
        <v>17</v>
      </c>
      <c r="C2709" s="1">
        <v>1348</v>
      </c>
      <c r="D2709" s="1">
        <v>0</v>
      </c>
    </row>
    <row r="2710" spans="1:4" x14ac:dyDescent="0.25">
      <c r="A2710" s="2">
        <v>36770</v>
      </c>
      <c r="B2710" s="1" t="s">
        <v>17</v>
      </c>
      <c r="C2710" s="1">
        <v>1344.6</v>
      </c>
      <c r="D2710" s="1">
        <v>0</v>
      </c>
    </row>
    <row r="2711" spans="1:4" x14ac:dyDescent="0.25">
      <c r="A2711" s="2">
        <v>36800</v>
      </c>
      <c r="B2711" s="1" t="s">
        <v>17</v>
      </c>
      <c r="C2711" s="1">
        <v>1350.9</v>
      </c>
      <c r="D2711" s="1">
        <v>0</v>
      </c>
    </row>
    <row r="2712" spans="1:4" x14ac:dyDescent="0.25">
      <c r="A2712" s="2">
        <v>36831</v>
      </c>
      <c r="B2712" s="1" t="s">
        <v>17</v>
      </c>
      <c r="C2712" s="1">
        <v>1351.5</v>
      </c>
      <c r="D2712" s="1">
        <v>0</v>
      </c>
    </row>
    <row r="2713" spans="1:4" x14ac:dyDescent="0.25">
      <c r="A2713" s="2">
        <v>36861</v>
      </c>
      <c r="B2713" s="1" t="s">
        <v>17</v>
      </c>
      <c r="C2713" s="1">
        <v>1349.5</v>
      </c>
      <c r="D2713" s="1">
        <v>0</v>
      </c>
    </row>
    <row r="2714" spans="1:4" x14ac:dyDescent="0.25">
      <c r="A2714" s="2">
        <v>36892</v>
      </c>
      <c r="B2714" s="1" t="s">
        <v>17</v>
      </c>
      <c r="C2714" s="1">
        <v>1352</v>
      </c>
      <c r="D2714" s="1">
        <v>0</v>
      </c>
    </row>
    <row r="2715" spans="1:4" x14ac:dyDescent="0.25">
      <c r="A2715" s="2">
        <v>36923</v>
      </c>
      <c r="B2715" s="1" t="s">
        <v>17</v>
      </c>
      <c r="C2715" s="1">
        <v>1351.2</v>
      </c>
      <c r="D2715" s="1">
        <v>0</v>
      </c>
    </row>
    <row r="2716" spans="1:4" x14ac:dyDescent="0.25">
      <c r="A2716" s="2">
        <v>36951</v>
      </c>
      <c r="B2716" s="1" t="s">
        <v>17</v>
      </c>
      <c r="C2716" s="1">
        <v>1353.4</v>
      </c>
      <c r="D2716" s="1">
        <v>0</v>
      </c>
    </row>
    <row r="2717" spans="1:4" x14ac:dyDescent="0.25">
      <c r="A2717" s="2">
        <v>36982</v>
      </c>
      <c r="B2717" s="1" t="s">
        <v>17</v>
      </c>
      <c r="C2717" s="1">
        <v>1352.3</v>
      </c>
      <c r="D2717" s="1">
        <v>0</v>
      </c>
    </row>
    <row r="2718" spans="1:4" x14ac:dyDescent="0.25">
      <c r="A2718" s="2">
        <v>37012</v>
      </c>
      <c r="B2718" s="1" t="s">
        <v>17</v>
      </c>
      <c r="C2718" s="1">
        <v>1352</v>
      </c>
      <c r="D2718" s="1">
        <v>0</v>
      </c>
    </row>
    <row r="2719" spans="1:4" x14ac:dyDescent="0.25">
      <c r="A2719" s="2">
        <v>37043</v>
      </c>
      <c r="B2719" s="1" t="s">
        <v>17</v>
      </c>
      <c r="C2719" s="1">
        <v>1348</v>
      </c>
      <c r="D2719" s="1">
        <v>0</v>
      </c>
    </row>
    <row r="2720" spans="1:4" x14ac:dyDescent="0.25">
      <c r="A2720" s="2">
        <v>37073</v>
      </c>
      <c r="B2720" s="1" t="s">
        <v>17</v>
      </c>
      <c r="C2720" s="1">
        <v>1350.1</v>
      </c>
      <c r="D2720" s="1">
        <v>0</v>
      </c>
    </row>
    <row r="2721" spans="1:4" x14ac:dyDescent="0.25">
      <c r="A2721" s="2">
        <v>37104</v>
      </c>
      <c r="B2721" s="1" t="s">
        <v>17</v>
      </c>
      <c r="C2721" s="1">
        <v>1348.4</v>
      </c>
      <c r="D2721" s="1">
        <v>0</v>
      </c>
    </row>
    <row r="2722" spans="1:4" x14ac:dyDescent="0.25">
      <c r="A2722" s="2">
        <v>37135</v>
      </c>
      <c r="B2722" s="1" t="s">
        <v>17</v>
      </c>
      <c r="C2722" s="1">
        <v>1347.8</v>
      </c>
      <c r="D2722" s="1">
        <v>0</v>
      </c>
    </row>
    <row r="2723" spans="1:4" x14ac:dyDescent="0.25">
      <c r="A2723" s="2">
        <v>37165</v>
      </c>
      <c r="B2723" s="1" t="s">
        <v>17</v>
      </c>
      <c r="C2723" s="1">
        <v>1346.5</v>
      </c>
      <c r="D2723" s="1">
        <v>0</v>
      </c>
    </row>
    <row r="2724" spans="1:4" x14ac:dyDescent="0.25">
      <c r="A2724" s="2">
        <v>37196</v>
      </c>
      <c r="B2724" s="1" t="s">
        <v>17</v>
      </c>
      <c r="C2724" s="1">
        <v>1342.7</v>
      </c>
      <c r="D2724" s="1">
        <v>0</v>
      </c>
    </row>
    <row r="2725" spans="1:4" x14ac:dyDescent="0.25">
      <c r="A2725" s="2">
        <v>37226</v>
      </c>
      <c r="B2725" s="1" t="s">
        <v>17</v>
      </c>
      <c r="C2725" s="1">
        <v>1342</v>
      </c>
      <c r="D2725" s="1">
        <v>0</v>
      </c>
    </row>
    <row r="2726" spans="1:4" x14ac:dyDescent="0.25">
      <c r="A2726" s="2">
        <v>37257</v>
      </c>
      <c r="B2726" s="1" t="s">
        <v>17</v>
      </c>
      <c r="C2726" s="1">
        <v>1343</v>
      </c>
      <c r="D2726" s="1">
        <v>0</v>
      </c>
    </row>
    <row r="2727" spans="1:4" x14ac:dyDescent="0.25">
      <c r="A2727" s="2">
        <v>37288</v>
      </c>
      <c r="B2727" s="1" t="s">
        <v>17</v>
      </c>
      <c r="C2727" s="1">
        <v>1338.4</v>
      </c>
      <c r="D2727" s="1">
        <v>0</v>
      </c>
    </row>
    <row r="2728" spans="1:4" x14ac:dyDescent="0.25">
      <c r="A2728" s="2">
        <v>37316</v>
      </c>
      <c r="B2728" s="1" t="s">
        <v>17</v>
      </c>
      <c r="C2728" s="1">
        <v>1338.2</v>
      </c>
      <c r="D2728" s="1">
        <v>0</v>
      </c>
    </row>
    <row r="2729" spans="1:4" x14ac:dyDescent="0.25">
      <c r="A2729" s="2">
        <v>37347</v>
      </c>
      <c r="B2729" s="1" t="s">
        <v>17</v>
      </c>
      <c r="C2729" s="1">
        <v>1341.5</v>
      </c>
      <c r="D2729" s="1">
        <v>0</v>
      </c>
    </row>
    <row r="2730" spans="1:4" x14ac:dyDescent="0.25">
      <c r="A2730" s="2">
        <v>37377</v>
      </c>
      <c r="B2730" s="1" t="s">
        <v>17</v>
      </c>
      <c r="C2730" s="1">
        <v>1340.1</v>
      </c>
      <c r="D2730" s="1">
        <v>0</v>
      </c>
    </row>
    <row r="2731" spans="1:4" x14ac:dyDescent="0.25">
      <c r="A2731" s="2">
        <v>37408</v>
      </c>
      <c r="B2731" s="1" t="s">
        <v>17</v>
      </c>
      <c r="C2731" s="1">
        <v>1340.4</v>
      </c>
      <c r="D2731" s="1">
        <v>0</v>
      </c>
    </row>
    <row r="2732" spans="1:4" x14ac:dyDescent="0.25">
      <c r="A2732" s="2">
        <v>37438</v>
      </c>
      <c r="B2732" s="1" t="s">
        <v>17</v>
      </c>
      <c r="C2732" s="1">
        <v>1338.9</v>
      </c>
      <c r="D2732" s="1">
        <v>0</v>
      </c>
    </row>
    <row r="2733" spans="1:4" x14ac:dyDescent="0.25">
      <c r="A2733" s="2">
        <v>37469</v>
      </c>
      <c r="B2733" s="1" t="s">
        <v>17</v>
      </c>
      <c r="C2733" s="1">
        <v>1339.9</v>
      </c>
      <c r="D2733" s="1">
        <v>0</v>
      </c>
    </row>
    <row r="2734" spans="1:4" x14ac:dyDescent="0.25">
      <c r="A2734" s="2">
        <v>37500</v>
      </c>
      <c r="B2734" s="1" t="s">
        <v>17</v>
      </c>
      <c r="C2734" s="1">
        <v>1335.7</v>
      </c>
      <c r="D2734" s="1">
        <v>0</v>
      </c>
    </row>
    <row r="2735" spans="1:4" x14ac:dyDescent="0.25">
      <c r="A2735" s="2">
        <v>37530</v>
      </c>
      <c r="B2735" s="1" t="s">
        <v>17</v>
      </c>
      <c r="C2735" s="1">
        <v>1327.2</v>
      </c>
      <c r="D2735" s="1">
        <v>0</v>
      </c>
    </row>
    <row r="2736" spans="1:4" x14ac:dyDescent="0.25">
      <c r="A2736" s="2">
        <v>37561</v>
      </c>
      <c r="B2736" s="1" t="s">
        <v>17</v>
      </c>
      <c r="C2736" s="1">
        <v>1328.1</v>
      </c>
      <c r="D2736" s="1">
        <v>0</v>
      </c>
    </row>
    <row r="2737" spans="1:4" x14ac:dyDescent="0.25">
      <c r="A2737" s="2">
        <v>37591</v>
      </c>
      <c r="B2737" s="1" t="s">
        <v>17</v>
      </c>
      <c r="C2737" s="1">
        <v>1326</v>
      </c>
      <c r="D2737" s="1">
        <v>0</v>
      </c>
    </row>
    <row r="2738" spans="1:4" x14ac:dyDescent="0.25">
      <c r="A2738" s="2">
        <v>37622</v>
      </c>
      <c r="B2738" s="1" t="s">
        <v>17</v>
      </c>
      <c r="C2738" s="1">
        <v>1322.9</v>
      </c>
      <c r="D2738" s="1">
        <v>0</v>
      </c>
    </row>
    <row r="2739" spans="1:4" x14ac:dyDescent="0.25">
      <c r="A2739" s="2">
        <v>37653</v>
      </c>
      <c r="B2739" s="1" t="s">
        <v>17</v>
      </c>
      <c r="C2739" s="1">
        <v>1320.1</v>
      </c>
      <c r="D2739" s="1">
        <v>0</v>
      </c>
    </row>
    <row r="2740" spans="1:4" x14ac:dyDescent="0.25">
      <c r="A2740" s="2">
        <v>37681</v>
      </c>
      <c r="B2740" s="1" t="s">
        <v>17</v>
      </c>
      <c r="C2740" s="1">
        <v>1313.7</v>
      </c>
      <c r="D2740" s="1">
        <v>0</v>
      </c>
    </row>
    <row r="2741" spans="1:4" x14ac:dyDescent="0.25">
      <c r="A2741" s="2">
        <v>37712</v>
      </c>
      <c r="B2741" s="1" t="s">
        <v>17</v>
      </c>
      <c r="C2741" s="1">
        <v>1312.7</v>
      </c>
      <c r="D2741" s="1">
        <v>0</v>
      </c>
    </row>
    <row r="2742" spans="1:4" x14ac:dyDescent="0.25">
      <c r="A2742" s="2">
        <v>37742</v>
      </c>
      <c r="B2742" s="1" t="s">
        <v>17</v>
      </c>
      <c r="C2742" s="1">
        <v>1313.4</v>
      </c>
      <c r="D2742" s="1">
        <v>0</v>
      </c>
    </row>
    <row r="2743" spans="1:4" x14ac:dyDescent="0.25">
      <c r="A2743" s="2">
        <v>37773</v>
      </c>
      <c r="B2743" s="1" t="s">
        <v>17</v>
      </c>
      <c r="C2743" s="1">
        <v>1311</v>
      </c>
      <c r="D2743" s="1">
        <v>0</v>
      </c>
    </row>
    <row r="2744" spans="1:4" x14ac:dyDescent="0.25">
      <c r="A2744" s="2">
        <v>37803</v>
      </c>
      <c r="B2744" s="1" t="s">
        <v>17</v>
      </c>
      <c r="C2744" s="1">
        <v>1311.4</v>
      </c>
      <c r="D2744" s="1">
        <v>0</v>
      </c>
    </row>
    <row r="2745" spans="1:4" x14ac:dyDescent="0.25">
      <c r="A2745" s="2">
        <v>37834</v>
      </c>
      <c r="B2745" s="1" t="s">
        <v>17</v>
      </c>
      <c r="C2745" s="1">
        <v>1311.1</v>
      </c>
      <c r="D2745" s="1">
        <v>0</v>
      </c>
    </row>
    <row r="2746" spans="1:4" x14ac:dyDescent="0.25">
      <c r="A2746" s="2">
        <v>37865</v>
      </c>
      <c r="B2746" s="1" t="s">
        <v>17</v>
      </c>
      <c r="C2746" s="1">
        <v>1310.8</v>
      </c>
      <c r="D2746" s="1">
        <v>0</v>
      </c>
    </row>
    <row r="2747" spans="1:4" x14ac:dyDescent="0.25">
      <c r="A2747" s="2">
        <v>37895</v>
      </c>
      <c r="B2747" s="1" t="s">
        <v>17</v>
      </c>
      <c r="C2747" s="1">
        <v>1310.9</v>
      </c>
      <c r="D2747" s="1">
        <v>0</v>
      </c>
    </row>
    <row r="2748" spans="1:4" x14ac:dyDescent="0.25">
      <c r="A2748" s="2">
        <v>37926</v>
      </c>
      <c r="B2748" s="1" t="s">
        <v>17</v>
      </c>
      <c r="C2748" s="1">
        <v>1312.3</v>
      </c>
      <c r="D2748" s="1">
        <v>0</v>
      </c>
    </row>
    <row r="2749" spans="1:4" x14ac:dyDescent="0.25">
      <c r="A2749" s="2">
        <v>37956</v>
      </c>
      <c r="B2749" s="1" t="s">
        <v>17</v>
      </c>
      <c r="C2749" s="1">
        <v>1310.9</v>
      </c>
      <c r="D2749" s="1">
        <v>0</v>
      </c>
    </row>
    <row r="2750" spans="1:4" x14ac:dyDescent="0.25">
      <c r="A2750" s="2">
        <v>37987</v>
      </c>
      <c r="B2750" s="1" t="s">
        <v>17</v>
      </c>
      <c r="C2750" s="1">
        <v>1312.5</v>
      </c>
      <c r="D2750" s="1">
        <v>0</v>
      </c>
    </row>
    <row r="2751" spans="1:4" x14ac:dyDescent="0.25">
      <c r="A2751" s="2">
        <v>38018</v>
      </c>
      <c r="B2751" s="1" t="s">
        <v>17</v>
      </c>
      <c r="C2751" s="1">
        <v>1308.7</v>
      </c>
      <c r="D2751" s="1">
        <v>0</v>
      </c>
    </row>
    <row r="2752" spans="1:4" x14ac:dyDescent="0.25">
      <c r="A2752" s="2">
        <v>38047</v>
      </c>
      <c r="B2752" s="1" t="s">
        <v>17</v>
      </c>
      <c r="C2752" s="1">
        <v>1313.2</v>
      </c>
      <c r="D2752" s="1">
        <v>0</v>
      </c>
    </row>
    <row r="2753" spans="1:4" x14ac:dyDescent="0.25">
      <c r="A2753" s="2">
        <v>38078</v>
      </c>
      <c r="B2753" s="1" t="s">
        <v>17</v>
      </c>
      <c r="C2753" s="1">
        <v>1321.3</v>
      </c>
      <c r="D2753" s="1">
        <v>0</v>
      </c>
    </row>
    <row r="2754" spans="1:4" x14ac:dyDescent="0.25">
      <c r="A2754" s="2">
        <v>38108</v>
      </c>
      <c r="B2754" s="1" t="s">
        <v>17</v>
      </c>
      <c r="C2754" s="1">
        <v>1324.7</v>
      </c>
      <c r="D2754" s="1">
        <v>0</v>
      </c>
    </row>
    <row r="2755" spans="1:4" x14ac:dyDescent="0.25">
      <c r="A2755" s="2">
        <v>38139</v>
      </c>
      <c r="B2755" s="1" t="s">
        <v>17</v>
      </c>
      <c r="C2755" s="1">
        <v>1326.8</v>
      </c>
      <c r="D2755" s="1">
        <v>0</v>
      </c>
    </row>
    <row r="2756" spans="1:4" x14ac:dyDescent="0.25">
      <c r="A2756" s="2">
        <v>38169</v>
      </c>
      <c r="B2756" s="1" t="s">
        <v>17</v>
      </c>
      <c r="C2756" s="1">
        <v>1328.4</v>
      </c>
      <c r="D2756" s="1">
        <v>0</v>
      </c>
    </row>
    <row r="2757" spans="1:4" x14ac:dyDescent="0.25">
      <c r="A2757" s="2">
        <v>38200</v>
      </c>
      <c r="B2757" s="1" t="s">
        <v>17</v>
      </c>
      <c r="C2757" s="1">
        <v>1329.4</v>
      </c>
      <c r="D2757" s="1">
        <v>0</v>
      </c>
    </row>
    <row r="2758" spans="1:4" x14ac:dyDescent="0.25">
      <c r="A2758" s="2">
        <v>38231</v>
      </c>
      <c r="B2758" s="1" t="s">
        <v>17</v>
      </c>
      <c r="C2758" s="1">
        <v>1331.8</v>
      </c>
      <c r="D2758" s="1">
        <v>0</v>
      </c>
    </row>
    <row r="2759" spans="1:4" x14ac:dyDescent="0.25">
      <c r="A2759" s="2">
        <v>38261</v>
      </c>
      <c r="B2759" s="1" t="s">
        <v>17</v>
      </c>
      <c r="C2759" s="1">
        <v>1333.3</v>
      </c>
      <c r="D2759" s="1">
        <v>0</v>
      </c>
    </row>
    <row r="2760" spans="1:4" x14ac:dyDescent="0.25">
      <c r="A2760" s="2">
        <v>38292</v>
      </c>
      <c r="B2760" s="1" t="s">
        <v>17</v>
      </c>
      <c r="C2760" s="1">
        <v>1333</v>
      </c>
      <c r="D2760" s="1">
        <v>0</v>
      </c>
    </row>
    <row r="2761" spans="1:4" x14ac:dyDescent="0.25">
      <c r="A2761" s="2">
        <v>38322</v>
      </c>
      <c r="B2761" s="1" t="s">
        <v>17</v>
      </c>
      <c r="C2761" s="1">
        <v>1333.4</v>
      </c>
      <c r="D2761" s="1">
        <v>0</v>
      </c>
    </row>
    <row r="2762" spans="1:4" x14ac:dyDescent="0.25">
      <c r="A2762" s="2">
        <v>38353</v>
      </c>
      <c r="B2762" s="1" t="s">
        <v>17</v>
      </c>
      <c r="C2762" s="1">
        <v>1326.2</v>
      </c>
      <c r="D2762" s="1">
        <v>0</v>
      </c>
    </row>
    <row r="2763" spans="1:4" x14ac:dyDescent="0.25">
      <c r="A2763" s="2">
        <v>38384</v>
      </c>
      <c r="B2763" s="1" t="s">
        <v>17</v>
      </c>
      <c r="C2763" s="1">
        <v>1332.1</v>
      </c>
      <c r="D2763" s="1">
        <v>0</v>
      </c>
    </row>
    <row r="2764" spans="1:4" x14ac:dyDescent="0.25">
      <c r="A2764" s="2">
        <v>38412</v>
      </c>
      <c r="B2764" s="1" t="s">
        <v>17</v>
      </c>
      <c r="C2764" s="1">
        <v>1333.7</v>
      </c>
      <c r="D2764" s="1">
        <v>0</v>
      </c>
    </row>
    <row r="2765" spans="1:4" x14ac:dyDescent="0.25">
      <c r="A2765" s="2">
        <v>38443</v>
      </c>
      <c r="B2765" s="1" t="s">
        <v>17</v>
      </c>
      <c r="C2765" s="1">
        <v>1331.7</v>
      </c>
      <c r="D2765" s="1">
        <v>0</v>
      </c>
    </row>
    <row r="2766" spans="1:4" x14ac:dyDescent="0.25">
      <c r="A2766" s="2">
        <v>38473</v>
      </c>
      <c r="B2766" s="1" t="s">
        <v>17</v>
      </c>
      <c r="C2766" s="1">
        <v>1333.1</v>
      </c>
      <c r="D2766" s="1">
        <v>0</v>
      </c>
    </row>
    <row r="2767" spans="1:4" x14ac:dyDescent="0.25">
      <c r="A2767" s="2">
        <v>38504</v>
      </c>
      <c r="B2767" s="1" t="s">
        <v>17</v>
      </c>
      <c r="C2767" s="1">
        <v>1334.1</v>
      </c>
      <c r="D2767" s="1">
        <v>0</v>
      </c>
    </row>
    <row r="2768" spans="1:4" x14ac:dyDescent="0.25">
      <c r="A2768" s="2">
        <v>38534</v>
      </c>
      <c r="B2768" s="1" t="s">
        <v>17</v>
      </c>
      <c r="C2768" s="1">
        <v>1327.5</v>
      </c>
      <c r="D2768" s="1">
        <v>0</v>
      </c>
    </row>
    <row r="2769" spans="1:4" x14ac:dyDescent="0.25">
      <c r="A2769" s="2">
        <v>38565</v>
      </c>
      <c r="B2769" s="1" t="s">
        <v>17</v>
      </c>
      <c r="C2769" s="1">
        <v>1329.3</v>
      </c>
      <c r="D2769" s="1">
        <v>0</v>
      </c>
    </row>
    <row r="2770" spans="1:4" x14ac:dyDescent="0.25">
      <c r="A2770" s="2">
        <v>38596</v>
      </c>
      <c r="B2770" s="1" t="s">
        <v>17</v>
      </c>
      <c r="C2770" s="1">
        <v>1333.1</v>
      </c>
      <c r="D2770" s="1">
        <v>0</v>
      </c>
    </row>
    <row r="2771" spans="1:4" x14ac:dyDescent="0.25">
      <c r="A2771" s="2">
        <v>38626</v>
      </c>
      <c r="B2771" s="1" t="s">
        <v>17</v>
      </c>
      <c r="C2771" s="1">
        <v>1334.9</v>
      </c>
      <c r="D2771" s="1">
        <v>0</v>
      </c>
    </row>
    <row r="2772" spans="1:4" x14ac:dyDescent="0.25">
      <c r="A2772" s="2">
        <v>38657</v>
      </c>
      <c r="B2772" s="1" t="s">
        <v>17</v>
      </c>
      <c r="C2772" s="1">
        <v>1338.7</v>
      </c>
      <c r="D2772" s="1">
        <v>0</v>
      </c>
    </row>
    <row r="2773" spans="1:4" x14ac:dyDescent="0.25">
      <c r="A2773" s="2">
        <v>38687</v>
      </c>
      <c r="B2773" s="1" t="s">
        <v>17</v>
      </c>
      <c r="C2773" s="1">
        <v>1340.2</v>
      </c>
      <c r="D2773" s="1">
        <v>0</v>
      </c>
    </row>
    <row r="2774" spans="1:4" x14ac:dyDescent="0.25">
      <c r="A2774" s="2">
        <v>38718</v>
      </c>
      <c r="B2774" s="1" t="s">
        <v>17</v>
      </c>
      <c r="C2774" s="1">
        <v>1341.9</v>
      </c>
      <c r="D2774" s="1">
        <v>0</v>
      </c>
    </row>
    <row r="2775" spans="1:4" x14ac:dyDescent="0.25">
      <c r="A2775" s="2">
        <v>38749</v>
      </c>
      <c r="B2775" s="1" t="s">
        <v>17</v>
      </c>
      <c r="C2775" s="1">
        <v>1349.8</v>
      </c>
      <c r="D2775" s="1">
        <v>0</v>
      </c>
    </row>
    <row r="2776" spans="1:4" x14ac:dyDescent="0.25">
      <c r="A2776" s="2">
        <v>38777</v>
      </c>
      <c r="B2776" s="1" t="s">
        <v>17</v>
      </c>
      <c r="C2776" s="1">
        <v>1349.6</v>
      </c>
      <c r="D2776" s="1">
        <v>0</v>
      </c>
    </row>
    <row r="2777" spans="1:4" x14ac:dyDescent="0.25">
      <c r="A2777" s="2">
        <v>38808</v>
      </c>
      <c r="B2777" s="1" t="s">
        <v>17</v>
      </c>
      <c r="C2777" s="1">
        <v>1349.1</v>
      </c>
      <c r="D2777" s="1">
        <v>0</v>
      </c>
    </row>
    <row r="2778" spans="1:4" x14ac:dyDescent="0.25">
      <c r="A2778" s="2">
        <v>38838</v>
      </c>
      <c r="B2778" s="1" t="s">
        <v>17</v>
      </c>
      <c r="C2778" s="1">
        <v>1350.1</v>
      </c>
      <c r="D2778" s="1">
        <v>0</v>
      </c>
    </row>
    <row r="2779" spans="1:4" x14ac:dyDescent="0.25">
      <c r="A2779" s="2">
        <v>38869</v>
      </c>
      <c r="B2779" s="1" t="s">
        <v>17</v>
      </c>
      <c r="C2779" s="1">
        <v>1355</v>
      </c>
      <c r="D2779" s="1">
        <v>0</v>
      </c>
    </row>
    <row r="2780" spans="1:4" x14ac:dyDescent="0.25">
      <c r="A2780" s="2">
        <v>38899</v>
      </c>
      <c r="B2780" s="1" t="s">
        <v>17</v>
      </c>
      <c r="C2780" s="1">
        <v>1347</v>
      </c>
      <c r="D2780" s="1">
        <v>0</v>
      </c>
    </row>
    <row r="2781" spans="1:4" x14ac:dyDescent="0.25">
      <c r="A2781" s="2">
        <v>38930</v>
      </c>
      <c r="B2781" s="1" t="s">
        <v>17</v>
      </c>
      <c r="C2781" s="1">
        <v>1353.2</v>
      </c>
      <c r="D2781" s="1">
        <v>0</v>
      </c>
    </row>
    <row r="2782" spans="1:4" x14ac:dyDescent="0.25">
      <c r="A2782" s="2">
        <v>38961</v>
      </c>
      <c r="B2782" s="1" t="s">
        <v>17</v>
      </c>
      <c r="C2782" s="1">
        <v>1361.7</v>
      </c>
      <c r="D2782" s="1">
        <v>0</v>
      </c>
    </row>
    <row r="2783" spans="1:4" x14ac:dyDescent="0.25">
      <c r="A2783" s="2">
        <v>38991</v>
      </c>
      <c r="B2783" s="1" t="s">
        <v>17</v>
      </c>
      <c r="C2783" s="1">
        <v>1361.1</v>
      </c>
      <c r="D2783" s="1">
        <v>0</v>
      </c>
    </row>
    <row r="2784" spans="1:4" x14ac:dyDescent="0.25">
      <c r="A2784" s="2">
        <v>39022</v>
      </c>
      <c r="B2784" s="1" t="s">
        <v>17</v>
      </c>
      <c r="C2784" s="1">
        <v>1359.1</v>
      </c>
      <c r="D2784" s="1">
        <v>0</v>
      </c>
    </row>
    <row r="2785" spans="1:4" x14ac:dyDescent="0.25">
      <c r="A2785" s="2">
        <v>39052</v>
      </c>
      <c r="B2785" s="1" t="s">
        <v>17</v>
      </c>
      <c r="C2785" s="1">
        <v>1367.8</v>
      </c>
      <c r="D2785" s="1">
        <v>0</v>
      </c>
    </row>
    <row r="2786" spans="1:4" x14ac:dyDescent="0.25">
      <c r="A2786" s="2">
        <v>39083</v>
      </c>
      <c r="B2786" s="1" t="s">
        <v>17</v>
      </c>
      <c r="C2786" s="1">
        <v>1365.5</v>
      </c>
      <c r="D2786" s="1">
        <v>0</v>
      </c>
    </row>
    <row r="2787" spans="1:4" x14ac:dyDescent="0.25">
      <c r="A2787" s="2">
        <v>39114</v>
      </c>
      <c r="B2787" s="1" t="s">
        <v>17</v>
      </c>
      <c r="C2787" s="1">
        <v>1368.3</v>
      </c>
      <c r="D2787" s="1">
        <v>0</v>
      </c>
    </row>
    <row r="2788" spans="1:4" x14ac:dyDescent="0.25">
      <c r="A2788" s="2">
        <v>39142</v>
      </c>
      <c r="B2788" s="1" t="s">
        <v>17</v>
      </c>
      <c r="C2788" s="1">
        <v>1376.7</v>
      </c>
      <c r="D2788" s="1">
        <v>0</v>
      </c>
    </row>
    <row r="2789" spans="1:4" x14ac:dyDescent="0.25">
      <c r="A2789" s="2">
        <v>39173</v>
      </c>
      <c r="B2789" s="1" t="s">
        <v>17</v>
      </c>
      <c r="C2789" s="1">
        <v>1375</v>
      </c>
      <c r="D2789" s="1">
        <v>0</v>
      </c>
    </row>
    <row r="2790" spans="1:4" x14ac:dyDescent="0.25">
      <c r="A2790" s="2">
        <v>39203</v>
      </c>
      <c r="B2790" s="1" t="s">
        <v>17</v>
      </c>
      <c r="C2790" s="1">
        <v>1375.6</v>
      </c>
      <c r="D2790" s="1">
        <v>0</v>
      </c>
    </row>
    <row r="2791" spans="1:4" x14ac:dyDescent="0.25">
      <c r="A2791" s="2">
        <v>39234</v>
      </c>
      <c r="B2791" s="1" t="s">
        <v>17</v>
      </c>
      <c r="C2791" s="1">
        <v>1384.1</v>
      </c>
      <c r="D2791" s="1">
        <v>0</v>
      </c>
    </row>
    <row r="2792" spans="1:4" x14ac:dyDescent="0.25">
      <c r="A2792" s="2">
        <v>39264</v>
      </c>
      <c r="B2792" s="1" t="s">
        <v>17</v>
      </c>
      <c r="C2792" s="1">
        <v>1387.2</v>
      </c>
      <c r="D2792" s="1">
        <v>0</v>
      </c>
    </row>
    <row r="2793" spans="1:4" x14ac:dyDescent="0.25">
      <c r="A2793" s="2">
        <v>39295</v>
      </c>
      <c r="B2793" s="1" t="s">
        <v>17</v>
      </c>
      <c r="C2793" s="1">
        <v>1385</v>
      </c>
      <c r="D2793" s="1">
        <v>0</v>
      </c>
    </row>
    <row r="2794" spans="1:4" x14ac:dyDescent="0.25">
      <c r="A2794" s="2">
        <v>39326</v>
      </c>
      <c r="B2794" s="1" t="s">
        <v>17</v>
      </c>
      <c r="C2794" s="1">
        <v>1385.8</v>
      </c>
      <c r="D2794" s="1">
        <v>0</v>
      </c>
    </row>
    <row r="2795" spans="1:4" x14ac:dyDescent="0.25">
      <c r="A2795" s="2">
        <v>39356</v>
      </c>
      <c r="B2795" s="1" t="s">
        <v>17</v>
      </c>
      <c r="C2795" s="1">
        <v>1385.3</v>
      </c>
      <c r="D2795" s="1">
        <v>0</v>
      </c>
    </row>
    <row r="2796" spans="1:4" x14ac:dyDescent="0.25">
      <c r="A2796" s="2">
        <v>39387</v>
      </c>
      <c r="B2796" s="1" t="s">
        <v>17</v>
      </c>
      <c r="C2796" s="1">
        <v>1388.6</v>
      </c>
      <c r="D2796" s="1">
        <v>0</v>
      </c>
    </row>
    <row r="2797" spans="1:4" x14ac:dyDescent="0.25">
      <c r="A2797" s="2">
        <v>39417</v>
      </c>
      <c r="B2797" s="1" t="s">
        <v>17</v>
      </c>
      <c r="C2797" s="1">
        <v>1385.9</v>
      </c>
      <c r="D2797" s="1">
        <v>0</v>
      </c>
    </row>
    <row r="2798" spans="1:4" x14ac:dyDescent="0.25">
      <c r="A2798" s="2">
        <v>39448</v>
      </c>
      <c r="B2798" s="1" t="s">
        <v>17</v>
      </c>
      <c r="C2798" s="1">
        <v>1391</v>
      </c>
      <c r="D2798" s="1">
        <v>0</v>
      </c>
    </row>
    <row r="2799" spans="1:4" x14ac:dyDescent="0.25">
      <c r="A2799" s="2">
        <v>39479</v>
      </c>
      <c r="B2799" s="1" t="s">
        <v>17</v>
      </c>
      <c r="C2799" s="1">
        <v>1392.5</v>
      </c>
      <c r="D2799" s="1">
        <v>0</v>
      </c>
    </row>
    <row r="2800" spans="1:4" x14ac:dyDescent="0.25">
      <c r="A2800" s="2">
        <v>39508</v>
      </c>
      <c r="B2800" s="1" t="s">
        <v>17</v>
      </c>
      <c r="C2800" s="1">
        <v>1393.4</v>
      </c>
      <c r="D2800" s="1">
        <v>0</v>
      </c>
    </row>
    <row r="2801" spans="1:4" x14ac:dyDescent="0.25">
      <c r="A2801" s="2">
        <v>39539</v>
      </c>
      <c r="B2801" s="1" t="s">
        <v>17</v>
      </c>
      <c r="C2801" s="1">
        <v>1396.3</v>
      </c>
      <c r="D2801" s="1">
        <v>0</v>
      </c>
    </row>
    <row r="2802" spans="1:4" x14ac:dyDescent="0.25">
      <c r="A2802" s="2">
        <v>39569</v>
      </c>
      <c r="B2802" s="1" t="s">
        <v>17</v>
      </c>
      <c r="C2802" s="1">
        <v>1396.9</v>
      </c>
      <c r="D2802" s="1">
        <v>0</v>
      </c>
    </row>
    <row r="2803" spans="1:4" x14ac:dyDescent="0.25">
      <c r="A2803" s="2">
        <v>39600</v>
      </c>
      <c r="B2803" s="1" t="s">
        <v>17</v>
      </c>
      <c r="C2803" s="1">
        <v>1393.7</v>
      </c>
      <c r="D2803" s="1">
        <v>0</v>
      </c>
    </row>
    <row r="2804" spans="1:4" x14ac:dyDescent="0.25">
      <c r="A2804" s="2">
        <v>39630</v>
      </c>
      <c r="B2804" s="1" t="s">
        <v>17</v>
      </c>
      <c r="C2804" s="1">
        <v>1393.4</v>
      </c>
      <c r="D2804" s="1">
        <v>0</v>
      </c>
    </row>
    <row r="2805" spans="1:4" x14ac:dyDescent="0.25">
      <c r="A2805" s="2">
        <v>39661</v>
      </c>
      <c r="B2805" s="1" t="s">
        <v>17</v>
      </c>
      <c r="C2805" s="1">
        <v>1386.4</v>
      </c>
      <c r="D2805" s="1">
        <v>0</v>
      </c>
    </row>
    <row r="2806" spans="1:4" x14ac:dyDescent="0.25">
      <c r="A2806" s="2">
        <v>39692</v>
      </c>
      <c r="B2806" s="1" t="s">
        <v>17</v>
      </c>
      <c r="C2806" s="1">
        <v>1390.6</v>
      </c>
      <c r="D2806" s="1">
        <v>0</v>
      </c>
    </row>
    <row r="2807" spans="1:4" x14ac:dyDescent="0.25">
      <c r="A2807" s="2">
        <v>39722</v>
      </c>
      <c r="B2807" s="1" t="s">
        <v>17</v>
      </c>
      <c r="C2807" s="1">
        <v>1390</v>
      </c>
      <c r="D2807" s="1">
        <v>0</v>
      </c>
    </row>
    <row r="2808" spans="1:4" x14ac:dyDescent="0.25">
      <c r="A2808" s="2">
        <v>39753</v>
      </c>
      <c r="B2808" s="1" t="s">
        <v>17</v>
      </c>
      <c r="C2808" s="1">
        <v>1386.4</v>
      </c>
      <c r="D2808" s="1">
        <v>0</v>
      </c>
    </row>
    <row r="2809" spans="1:4" x14ac:dyDescent="0.25">
      <c r="A2809" s="2">
        <v>39783</v>
      </c>
      <c r="B2809" s="1" t="s">
        <v>17</v>
      </c>
      <c r="C2809" s="1">
        <v>1382.8</v>
      </c>
      <c r="D2809" s="1">
        <v>0</v>
      </c>
    </row>
    <row r="2810" spans="1:4" x14ac:dyDescent="0.25">
      <c r="A2810" s="2">
        <v>39814</v>
      </c>
      <c r="B2810" s="1" t="s">
        <v>17</v>
      </c>
      <c r="C2810" s="1">
        <v>1381.4</v>
      </c>
      <c r="D2810" s="1">
        <v>0</v>
      </c>
    </row>
    <row r="2811" spans="1:4" x14ac:dyDescent="0.25">
      <c r="A2811" s="2">
        <v>39845</v>
      </c>
      <c r="B2811" s="1" t="s">
        <v>17</v>
      </c>
      <c r="C2811" s="1">
        <v>1370.8</v>
      </c>
      <c r="D2811" s="1">
        <v>0</v>
      </c>
    </row>
    <row r="2812" spans="1:4" x14ac:dyDescent="0.25">
      <c r="A2812" s="2">
        <v>39873</v>
      </c>
      <c r="B2812" s="1" t="s">
        <v>17</v>
      </c>
      <c r="C2812" s="1">
        <v>1361.7</v>
      </c>
      <c r="D2812" s="1">
        <v>0</v>
      </c>
    </row>
    <row r="2813" spans="1:4" x14ac:dyDescent="0.25">
      <c r="A2813" s="2">
        <v>39904</v>
      </c>
      <c r="B2813" s="1" t="s">
        <v>17</v>
      </c>
      <c r="C2813" s="1">
        <v>1350.3</v>
      </c>
      <c r="D2813" s="1">
        <v>0</v>
      </c>
    </row>
    <row r="2814" spans="1:4" x14ac:dyDescent="0.25">
      <c r="A2814" s="2">
        <v>39934</v>
      </c>
      <c r="B2814" s="1" t="s">
        <v>17</v>
      </c>
      <c r="C2814" s="1">
        <v>1346.1</v>
      </c>
      <c r="D2814" s="1">
        <v>0</v>
      </c>
    </row>
    <row r="2815" spans="1:4" x14ac:dyDescent="0.25">
      <c r="A2815" s="2">
        <v>39965</v>
      </c>
      <c r="B2815" s="1" t="s">
        <v>17</v>
      </c>
      <c r="C2815" s="1">
        <v>1339.5</v>
      </c>
      <c r="D2815" s="1">
        <v>0</v>
      </c>
    </row>
    <row r="2816" spans="1:4" x14ac:dyDescent="0.25">
      <c r="A2816" s="2">
        <v>39995</v>
      </c>
      <c r="B2816" s="1" t="s">
        <v>17</v>
      </c>
      <c r="C2816" s="1">
        <v>1333.9</v>
      </c>
      <c r="D2816" s="1">
        <v>0</v>
      </c>
    </row>
    <row r="2817" spans="1:4" x14ac:dyDescent="0.25">
      <c r="A2817" s="2">
        <v>40026</v>
      </c>
      <c r="B2817" s="1" t="s">
        <v>17</v>
      </c>
      <c r="C2817" s="1">
        <v>1329.9</v>
      </c>
      <c r="D2817" s="1">
        <v>0</v>
      </c>
    </row>
    <row r="2818" spans="1:4" x14ac:dyDescent="0.25">
      <c r="A2818" s="2">
        <v>40057</v>
      </c>
      <c r="B2818" s="1" t="s">
        <v>17</v>
      </c>
      <c r="C2818" s="1">
        <v>1328.5</v>
      </c>
      <c r="D2818" s="1">
        <v>0</v>
      </c>
    </row>
    <row r="2819" spans="1:4" x14ac:dyDescent="0.25">
      <c r="A2819" s="2">
        <v>40087</v>
      </c>
      <c r="B2819" s="1" t="s">
        <v>17</v>
      </c>
      <c r="C2819" s="1">
        <v>1325</v>
      </c>
      <c r="D2819" s="1">
        <v>0</v>
      </c>
    </row>
    <row r="2820" spans="1:4" x14ac:dyDescent="0.25">
      <c r="A2820" s="2">
        <v>40118</v>
      </c>
      <c r="B2820" s="1" t="s">
        <v>17</v>
      </c>
      <c r="C2820" s="1">
        <v>1326.3</v>
      </c>
      <c r="D2820" s="1">
        <v>0</v>
      </c>
    </row>
    <row r="2821" spans="1:4" x14ac:dyDescent="0.25">
      <c r="A2821" s="2">
        <v>40148</v>
      </c>
      <c r="B2821" s="1" t="s">
        <v>17</v>
      </c>
      <c r="C2821" s="1">
        <v>1324.1</v>
      </c>
      <c r="D2821" s="1">
        <v>0</v>
      </c>
    </row>
    <row r="2822" spans="1:4" x14ac:dyDescent="0.25">
      <c r="A2822" s="2">
        <v>40179</v>
      </c>
      <c r="B2822" s="1" t="s">
        <v>17</v>
      </c>
      <c r="C2822" s="1">
        <v>1323</v>
      </c>
      <c r="D2822" s="1">
        <v>0</v>
      </c>
    </row>
    <row r="2823" spans="1:4" x14ac:dyDescent="0.25">
      <c r="A2823" s="2">
        <v>40210</v>
      </c>
      <c r="B2823" s="1" t="s">
        <v>17</v>
      </c>
      <c r="C2823" s="1">
        <v>1319</v>
      </c>
      <c r="D2823" s="1">
        <v>0</v>
      </c>
    </row>
    <row r="2824" spans="1:4" x14ac:dyDescent="0.25">
      <c r="A2824" s="2">
        <v>40238</v>
      </c>
      <c r="B2824" s="1" t="s">
        <v>17</v>
      </c>
      <c r="C2824" s="1">
        <v>1321.3</v>
      </c>
      <c r="D2824" s="1">
        <v>0</v>
      </c>
    </row>
    <row r="2825" spans="1:4" x14ac:dyDescent="0.25">
      <c r="A2825" s="2">
        <v>40269</v>
      </c>
      <c r="B2825" s="1" t="s">
        <v>17</v>
      </c>
      <c r="C2825" s="1">
        <v>1326.7</v>
      </c>
      <c r="D2825" s="1">
        <v>0</v>
      </c>
    </row>
    <row r="2826" spans="1:4" x14ac:dyDescent="0.25">
      <c r="A2826" s="2">
        <v>40299</v>
      </c>
      <c r="B2826" s="1" t="s">
        <v>17</v>
      </c>
      <c r="C2826" s="1">
        <v>1331.4</v>
      </c>
      <c r="D2826" s="1">
        <v>0</v>
      </c>
    </row>
    <row r="2827" spans="1:4" x14ac:dyDescent="0.25">
      <c r="A2827" s="2">
        <v>40330</v>
      </c>
      <c r="B2827" s="1" t="s">
        <v>17</v>
      </c>
      <c r="C2827" s="1">
        <v>1331.8</v>
      </c>
      <c r="D2827" s="1">
        <v>0</v>
      </c>
    </row>
    <row r="2828" spans="1:4" x14ac:dyDescent="0.25">
      <c r="A2828" s="2">
        <v>40360</v>
      </c>
      <c r="B2828" s="1" t="s">
        <v>17</v>
      </c>
      <c r="C2828" s="1">
        <v>1333.3</v>
      </c>
      <c r="D2828" s="1">
        <v>0</v>
      </c>
    </row>
    <row r="2829" spans="1:4" x14ac:dyDescent="0.25">
      <c r="A2829" s="2">
        <v>40391</v>
      </c>
      <c r="B2829" s="1" t="s">
        <v>17</v>
      </c>
      <c r="C2829" s="1">
        <v>1334.3</v>
      </c>
      <c r="D2829" s="1">
        <v>0</v>
      </c>
    </row>
    <row r="2830" spans="1:4" x14ac:dyDescent="0.25">
      <c r="A2830" s="2">
        <v>40422</v>
      </c>
      <c r="B2830" s="1" t="s">
        <v>17</v>
      </c>
      <c r="C2830" s="1">
        <v>1327</v>
      </c>
      <c r="D2830" s="1">
        <v>0</v>
      </c>
    </row>
    <row r="2831" spans="1:4" x14ac:dyDescent="0.25">
      <c r="A2831" s="2">
        <v>40452</v>
      </c>
      <c r="B2831" s="1" t="s">
        <v>17</v>
      </c>
      <c r="C2831" s="1">
        <v>1333.2</v>
      </c>
      <c r="D2831" s="1">
        <v>0</v>
      </c>
    </row>
    <row r="2832" spans="1:4" x14ac:dyDescent="0.25">
      <c r="A2832" s="2">
        <v>40483</v>
      </c>
      <c r="B2832" s="1" t="s">
        <v>17</v>
      </c>
      <c r="C2832" s="1">
        <v>1329.2</v>
      </c>
      <c r="D2832" s="1">
        <v>0</v>
      </c>
    </row>
    <row r="2833" spans="1:4" x14ac:dyDescent="0.25">
      <c r="A2833" s="2">
        <v>40513</v>
      </c>
      <c r="B2833" s="1" t="s">
        <v>17</v>
      </c>
      <c r="C2833" s="1">
        <v>1331</v>
      </c>
      <c r="D2833" s="1">
        <v>0</v>
      </c>
    </row>
    <row r="2834" spans="1:4" x14ac:dyDescent="0.25">
      <c r="A2834" s="2">
        <v>40544</v>
      </c>
      <c r="B2834" s="1" t="s">
        <v>17</v>
      </c>
      <c r="C2834" s="1">
        <v>1337.9</v>
      </c>
      <c r="D2834" s="1">
        <v>0</v>
      </c>
    </row>
    <row r="2835" spans="1:4" x14ac:dyDescent="0.25">
      <c r="A2835" s="2">
        <v>40575</v>
      </c>
      <c r="B2835" s="1" t="s">
        <v>17</v>
      </c>
      <c r="C2835" s="1">
        <v>1331.3</v>
      </c>
      <c r="D2835" s="1">
        <v>0</v>
      </c>
    </row>
    <row r="2836" spans="1:4" x14ac:dyDescent="0.25">
      <c r="A2836" s="2">
        <v>40603</v>
      </c>
      <c r="B2836" s="1" t="s">
        <v>17</v>
      </c>
      <c r="C2836" s="1">
        <v>1332.9</v>
      </c>
      <c r="D2836" s="1">
        <v>0</v>
      </c>
    </row>
    <row r="2837" spans="1:4" x14ac:dyDescent="0.25">
      <c r="A2837" s="2">
        <v>40634</v>
      </c>
      <c r="B2837" s="1" t="s">
        <v>17</v>
      </c>
      <c r="C2837" s="1">
        <v>1339.8</v>
      </c>
      <c r="D2837" s="1">
        <v>0</v>
      </c>
    </row>
    <row r="2838" spans="1:4" x14ac:dyDescent="0.25">
      <c r="A2838" s="2">
        <v>40664</v>
      </c>
      <c r="B2838" s="1" t="s">
        <v>17</v>
      </c>
      <c r="C2838" s="1">
        <v>1339.2</v>
      </c>
      <c r="D2838" s="1">
        <v>0</v>
      </c>
    </row>
    <row r="2839" spans="1:4" x14ac:dyDescent="0.25">
      <c r="A2839" s="2">
        <v>40695</v>
      </c>
      <c r="B2839" s="1" t="s">
        <v>17</v>
      </c>
      <c r="C2839" s="1">
        <v>1331.7</v>
      </c>
      <c r="D2839" s="1">
        <v>0</v>
      </c>
    </row>
    <row r="2840" spans="1:4" x14ac:dyDescent="0.25">
      <c r="A2840" s="2">
        <v>40725</v>
      </c>
      <c r="B2840" s="1" t="s">
        <v>17</v>
      </c>
      <c r="C2840" s="1">
        <v>1342</v>
      </c>
      <c r="D2840" s="1">
        <v>0</v>
      </c>
    </row>
    <row r="2841" spans="1:4" x14ac:dyDescent="0.25">
      <c r="A2841" s="2">
        <v>40756</v>
      </c>
      <c r="B2841" s="1" t="s">
        <v>17</v>
      </c>
      <c r="C2841" s="1">
        <v>1344.2</v>
      </c>
      <c r="D2841" s="1">
        <v>0</v>
      </c>
    </row>
    <row r="2842" spans="1:4" x14ac:dyDescent="0.25">
      <c r="A2842" s="2">
        <v>40787</v>
      </c>
      <c r="B2842" s="1" t="s">
        <v>17</v>
      </c>
      <c r="C2842" s="1">
        <v>1343.5</v>
      </c>
      <c r="D2842" s="1">
        <v>0</v>
      </c>
    </row>
    <row r="2843" spans="1:4" x14ac:dyDescent="0.25">
      <c r="A2843" s="2">
        <v>40817</v>
      </c>
      <c r="B2843" s="1" t="s">
        <v>17</v>
      </c>
      <c r="C2843" s="1">
        <v>1343.7</v>
      </c>
      <c r="D2843" s="1">
        <v>0</v>
      </c>
    </row>
    <row r="2844" spans="1:4" x14ac:dyDescent="0.25">
      <c r="A2844" s="2">
        <v>40848</v>
      </c>
      <c r="B2844" s="1" t="s">
        <v>17</v>
      </c>
      <c r="C2844" s="1">
        <v>1344.2</v>
      </c>
      <c r="D2844" s="1">
        <v>0</v>
      </c>
    </row>
    <row r="2845" spans="1:4" x14ac:dyDescent="0.25">
      <c r="A2845" s="2">
        <v>40878</v>
      </c>
      <c r="B2845" s="1" t="s">
        <v>17</v>
      </c>
      <c r="C2845" s="1">
        <v>1341.4</v>
      </c>
      <c r="D2845" s="1">
        <v>0</v>
      </c>
    </row>
    <row r="2846" spans="1:4" x14ac:dyDescent="0.25">
      <c r="A2846" s="2">
        <v>40909</v>
      </c>
      <c r="B2846" s="1" t="s">
        <v>17</v>
      </c>
      <c r="C2846" s="1">
        <v>1354.2</v>
      </c>
      <c r="D2846" s="1">
        <v>0</v>
      </c>
    </row>
    <row r="2847" spans="1:4" x14ac:dyDescent="0.25">
      <c r="A2847" s="2">
        <v>40940</v>
      </c>
      <c r="B2847" s="1" t="s">
        <v>17</v>
      </c>
      <c r="C2847" s="1">
        <v>1354.7</v>
      </c>
      <c r="D2847" s="1">
        <v>0</v>
      </c>
    </row>
    <row r="2848" spans="1:4" x14ac:dyDescent="0.25">
      <c r="A2848" s="2">
        <v>40969</v>
      </c>
      <c r="B2848" s="1" t="s">
        <v>17</v>
      </c>
      <c r="C2848" s="1">
        <v>1358.4</v>
      </c>
      <c r="D2848" s="1">
        <v>0</v>
      </c>
    </row>
    <row r="2849" spans="1:4" x14ac:dyDescent="0.25">
      <c r="A2849" s="2">
        <v>41000</v>
      </c>
      <c r="B2849" s="1" t="s">
        <v>17</v>
      </c>
      <c r="C2849" s="1">
        <v>1353.6</v>
      </c>
      <c r="D2849" s="1">
        <v>0</v>
      </c>
    </row>
    <row r="2850" spans="1:4" x14ac:dyDescent="0.25">
      <c r="A2850" s="2">
        <v>41030</v>
      </c>
      <c r="B2850" s="1" t="s">
        <v>17</v>
      </c>
      <c r="C2850" s="1">
        <v>1355.6</v>
      </c>
      <c r="D2850" s="1">
        <v>0</v>
      </c>
    </row>
    <row r="2851" spans="1:4" x14ac:dyDescent="0.25">
      <c r="A2851" s="2">
        <v>41061</v>
      </c>
      <c r="B2851" s="1" t="s">
        <v>17</v>
      </c>
      <c r="C2851" s="1">
        <v>1356.6</v>
      </c>
      <c r="D2851" s="1">
        <v>0</v>
      </c>
    </row>
    <row r="2852" spans="1:4" x14ac:dyDescent="0.25">
      <c r="A2852" s="2">
        <v>41091</v>
      </c>
      <c r="B2852" s="1" t="s">
        <v>17</v>
      </c>
      <c r="C2852" s="1">
        <v>1354.6</v>
      </c>
      <c r="D2852" s="1">
        <v>0</v>
      </c>
    </row>
    <row r="2853" spans="1:4" x14ac:dyDescent="0.25">
      <c r="A2853" s="2">
        <v>41122</v>
      </c>
      <c r="B2853" s="1" t="s">
        <v>17</v>
      </c>
      <c r="C2853" s="1">
        <v>1359.6</v>
      </c>
      <c r="D2853" s="1">
        <v>0</v>
      </c>
    </row>
    <row r="2854" spans="1:4" x14ac:dyDescent="0.25">
      <c r="A2854" s="2">
        <v>41153</v>
      </c>
      <c r="B2854" s="1" t="s">
        <v>17</v>
      </c>
      <c r="C2854" s="1">
        <v>1356.9</v>
      </c>
      <c r="D2854" s="1">
        <v>0</v>
      </c>
    </row>
    <row r="2855" spans="1:4" x14ac:dyDescent="0.25">
      <c r="A2855" s="2">
        <v>41183</v>
      </c>
      <c r="B2855" s="1" t="s">
        <v>17</v>
      </c>
      <c r="C2855" s="1">
        <v>1360.7</v>
      </c>
      <c r="D2855" s="1">
        <v>0</v>
      </c>
    </row>
    <row r="2856" spans="1:4" x14ac:dyDescent="0.25">
      <c r="A2856" s="2">
        <v>41214</v>
      </c>
      <c r="B2856" s="1" t="s">
        <v>17</v>
      </c>
      <c r="C2856" s="1">
        <v>1362.7</v>
      </c>
      <c r="D2856" s="1">
        <v>0</v>
      </c>
    </row>
    <row r="2857" spans="1:4" x14ac:dyDescent="0.25">
      <c r="A2857" s="2">
        <v>41244</v>
      </c>
      <c r="B2857" s="1" t="s">
        <v>17</v>
      </c>
      <c r="C2857" s="1">
        <v>1362.9</v>
      </c>
      <c r="D2857" s="1">
        <v>0</v>
      </c>
    </row>
    <row r="2858" spans="1:4" x14ac:dyDescent="0.25">
      <c r="A2858" s="2">
        <v>41275</v>
      </c>
      <c r="B2858" s="1" t="s">
        <v>17</v>
      </c>
      <c r="C2858" s="1">
        <v>1364.1</v>
      </c>
      <c r="D2858" s="1">
        <v>0</v>
      </c>
    </row>
    <row r="2859" spans="1:4" x14ac:dyDescent="0.25">
      <c r="A2859" s="2">
        <v>41306</v>
      </c>
      <c r="B2859" s="1" t="s">
        <v>17</v>
      </c>
      <c r="C2859" s="1">
        <v>1368</v>
      </c>
      <c r="D2859" s="1">
        <v>0</v>
      </c>
    </row>
    <row r="2860" spans="1:4" x14ac:dyDescent="0.25">
      <c r="A2860" s="2">
        <v>41334</v>
      </c>
      <c r="B2860" s="1" t="s">
        <v>17</v>
      </c>
      <c r="C2860" s="1">
        <v>1366.2</v>
      </c>
      <c r="D2860" s="1">
        <v>0</v>
      </c>
    </row>
    <row r="2861" spans="1:4" x14ac:dyDescent="0.25">
      <c r="A2861" s="2">
        <v>41365</v>
      </c>
      <c r="B2861" s="1" t="s">
        <v>17</v>
      </c>
      <c r="C2861" s="1">
        <v>1369.6</v>
      </c>
      <c r="D2861" s="1">
        <v>0</v>
      </c>
    </row>
    <row r="2862" spans="1:4" x14ac:dyDescent="0.25">
      <c r="A2862" s="2">
        <v>41395</v>
      </c>
      <c r="B2862" s="1" t="s">
        <v>17</v>
      </c>
      <c r="C2862" s="1">
        <v>1367.6</v>
      </c>
      <c r="D2862" s="1">
        <v>0</v>
      </c>
    </row>
    <row r="2863" spans="1:4" x14ac:dyDescent="0.25">
      <c r="A2863" s="2">
        <v>41426</v>
      </c>
      <c r="B2863" s="1" t="s">
        <v>17</v>
      </c>
      <c r="C2863" s="1">
        <v>1366.3</v>
      </c>
      <c r="D2863" s="1">
        <v>0</v>
      </c>
    </row>
    <row r="2864" spans="1:4" x14ac:dyDescent="0.25">
      <c r="A2864" s="2">
        <v>41456</v>
      </c>
      <c r="B2864" s="1" t="s">
        <v>17</v>
      </c>
      <c r="C2864" s="1">
        <v>1373.3</v>
      </c>
      <c r="D2864" s="1">
        <v>0</v>
      </c>
    </row>
    <row r="2865" spans="1:4" x14ac:dyDescent="0.25">
      <c r="A2865" s="2">
        <v>41487</v>
      </c>
      <c r="B2865" s="1" t="s">
        <v>17</v>
      </c>
      <c r="C2865" s="1">
        <v>1376.7</v>
      </c>
      <c r="D2865" s="1">
        <v>0</v>
      </c>
    </row>
    <row r="2866" spans="1:4" x14ac:dyDescent="0.25">
      <c r="A2866" s="2">
        <v>41518</v>
      </c>
      <c r="B2866" s="1" t="s">
        <v>17</v>
      </c>
      <c r="C2866" s="1">
        <v>1380.2</v>
      </c>
      <c r="D2866" s="1">
        <v>0</v>
      </c>
    </row>
    <row r="2867" spans="1:4" x14ac:dyDescent="0.25">
      <c r="A2867" s="2">
        <v>41548</v>
      </c>
      <c r="B2867" s="1" t="s">
        <v>17</v>
      </c>
      <c r="C2867" s="1">
        <v>1382.7</v>
      </c>
      <c r="D2867" s="1">
        <v>0</v>
      </c>
    </row>
    <row r="2868" spans="1:4" x14ac:dyDescent="0.25">
      <c r="A2868" s="2">
        <v>41579</v>
      </c>
      <c r="B2868" s="1" t="s">
        <v>17</v>
      </c>
      <c r="C2868" s="1">
        <v>1384.9</v>
      </c>
      <c r="D2868" s="1">
        <v>0</v>
      </c>
    </row>
    <row r="2869" spans="1:4" x14ac:dyDescent="0.25">
      <c r="A2869" s="2">
        <v>41609</v>
      </c>
      <c r="B2869" s="1" t="s">
        <v>17</v>
      </c>
      <c r="C2869" s="1">
        <v>1382.7</v>
      </c>
      <c r="D2869" s="1">
        <v>0</v>
      </c>
    </row>
    <row r="2870" spans="1:4" x14ac:dyDescent="0.25">
      <c r="A2870" s="2">
        <v>41640</v>
      </c>
      <c r="B2870" s="1" t="s">
        <v>17</v>
      </c>
      <c r="C2870" s="1">
        <v>1380.2</v>
      </c>
      <c r="D2870" s="1">
        <v>0</v>
      </c>
    </row>
    <row r="2871" spans="1:4" x14ac:dyDescent="0.25">
      <c r="A2871" s="2">
        <v>41671</v>
      </c>
      <c r="B2871" s="1" t="s">
        <v>17</v>
      </c>
      <c r="C2871" s="1">
        <v>1381</v>
      </c>
      <c r="D2871" s="1">
        <v>0</v>
      </c>
    </row>
    <row r="2872" spans="1:4" x14ac:dyDescent="0.25">
      <c r="A2872" s="2">
        <v>41699</v>
      </c>
      <c r="B2872" s="1" t="s">
        <v>17</v>
      </c>
      <c r="C2872" s="1">
        <v>1383.9</v>
      </c>
      <c r="D2872" s="1">
        <v>0</v>
      </c>
    </row>
    <row r="2873" spans="1:4" x14ac:dyDescent="0.25">
      <c r="A2873" s="2">
        <v>41730</v>
      </c>
      <c r="B2873" s="1" t="s">
        <v>17</v>
      </c>
      <c r="C2873" s="1">
        <v>1383.4</v>
      </c>
      <c r="D2873" s="1">
        <v>0</v>
      </c>
    </row>
    <row r="2874" spans="1:4" x14ac:dyDescent="0.25">
      <c r="A2874" s="2">
        <v>41760</v>
      </c>
      <c r="B2874" s="1" t="s">
        <v>17</v>
      </c>
      <c r="C2874" s="1">
        <v>1384.2</v>
      </c>
      <c r="D2874" s="1">
        <v>0</v>
      </c>
    </row>
    <row r="2875" spans="1:4" x14ac:dyDescent="0.25">
      <c r="A2875" s="2">
        <v>41791</v>
      </c>
      <c r="B2875" s="1" t="s">
        <v>17</v>
      </c>
      <c r="C2875" s="1">
        <v>1385</v>
      </c>
      <c r="D2875" s="1">
        <v>0</v>
      </c>
    </row>
    <row r="2876" spans="1:4" x14ac:dyDescent="0.25">
      <c r="A2876" s="2">
        <v>41821</v>
      </c>
      <c r="B2876" s="1" t="s">
        <v>17</v>
      </c>
      <c r="C2876" s="1">
        <v>1386.7</v>
      </c>
      <c r="D2876" s="1">
        <v>0</v>
      </c>
    </row>
    <row r="2877" spans="1:4" x14ac:dyDescent="0.25">
      <c r="A2877" s="2">
        <v>41852</v>
      </c>
      <c r="B2877" s="1" t="s">
        <v>17</v>
      </c>
      <c r="C2877" s="1">
        <v>1387</v>
      </c>
      <c r="D2877" s="1">
        <v>0</v>
      </c>
    </row>
    <row r="2878" spans="1:4" x14ac:dyDescent="0.25">
      <c r="A2878" s="2">
        <v>41883</v>
      </c>
      <c r="B2878" s="1" t="s">
        <v>17</v>
      </c>
      <c r="C2878" s="1">
        <v>1388.1</v>
      </c>
      <c r="D2878" s="1">
        <v>0</v>
      </c>
    </row>
    <row r="2879" spans="1:4" x14ac:dyDescent="0.25">
      <c r="A2879" s="2">
        <v>41913</v>
      </c>
      <c r="B2879" s="1" t="s">
        <v>17</v>
      </c>
      <c r="C2879" s="1">
        <v>1396.5</v>
      </c>
      <c r="D2879" s="1">
        <v>0</v>
      </c>
    </row>
    <row r="2880" spans="1:4" x14ac:dyDescent="0.25">
      <c r="A2880" s="2">
        <v>41944</v>
      </c>
      <c r="B2880" s="1" t="s">
        <v>17</v>
      </c>
      <c r="C2880" s="1">
        <v>1393.8</v>
      </c>
      <c r="D2880" s="1">
        <v>0</v>
      </c>
    </row>
    <row r="2881" spans="1:4" x14ac:dyDescent="0.25">
      <c r="A2881" s="2">
        <v>41974</v>
      </c>
      <c r="B2881" s="1" t="s">
        <v>17</v>
      </c>
      <c r="C2881" s="1">
        <v>1395.5</v>
      </c>
      <c r="D2881" s="1">
        <v>0</v>
      </c>
    </row>
    <row r="2882" spans="1:4" x14ac:dyDescent="0.25">
      <c r="A2882" s="2">
        <v>36526</v>
      </c>
      <c r="B2882" s="1" t="s">
        <v>19</v>
      </c>
      <c r="C2882" s="1">
        <v>0</v>
      </c>
      <c r="D2882" s="1">
        <f>0.000008*(1000000)</f>
        <v>8</v>
      </c>
    </row>
    <row r="2883" spans="1:4" x14ac:dyDescent="0.25">
      <c r="A2883" s="2">
        <v>36557</v>
      </c>
      <c r="B2883" s="1" t="s">
        <v>19</v>
      </c>
      <c r="C2883" s="1">
        <v>0</v>
      </c>
      <c r="D2883" s="1">
        <f>0.000003*(1000000)</f>
        <v>3</v>
      </c>
    </row>
    <row r="2884" spans="1:4" x14ac:dyDescent="0.25">
      <c r="A2884" s="2">
        <v>36586</v>
      </c>
      <c r="B2884" s="1" t="s">
        <v>19</v>
      </c>
      <c r="C2884" s="1">
        <v>0</v>
      </c>
      <c r="D2884" s="1">
        <f>0.000007*(1000000)</f>
        <v>7</v>
      </c>
    </row>
    <row r="2885" spans="1:4" x14ac:dyDescent="0.25">
      <c r="A2885" s="2">
        <v>36617</v>
      </c>
      <c r="B2885" s="1" t="s">
        <v>19</v>
      </c>
      <c r="C2885" s="1">
        <v>0</v>
      </c>
      <c r="D2885" s="1">
        <f>0.000003*(1000000)</f>
        <v>3</v>
      </c>
    </row>
    <row r="2886" spans="1:4" x14ac:dyDescent="0.25">
      <c r="A2886" s="2">
        <v>36647</v>
      </c>
      <c r="B2886" s="1" t="s">
        <v>19</v>
      </c>
      <c r="C2886" s="1">
        <v>0</v>
      </c>
      <c r="D2886" s="1">
        <f>0.000005*(1000000)</f>
        <v>5</v>
      </c>
    </row>
    <row r="2887" spans="1:4" x14ac:dyDescent="0.25">
      <c r="A2887" s="2">
        <v>36678</v>
      </c>
      <c r="B2887" s="1" t="s">
        <v>19</v>
      </c>
      <c r="C2887" s="1">
        <v>0</v>
      </c>
      <c r="D2887" s="1">
        <f>0.000005*(1000000)</f>
        <v>5</v>
      </c>
    </row>
    <row r="2888" spans="1:4" x14ac:dyDescent="0.25">
      <c r="A2888" s="2">
        <v>36708</v>
      </c>
      <c r="B2888" s="1" t="s">
        <v>19</v>
      </c>
      <c r="C2888" s="1">
        <v>0</v>
      </c>
      <c r="D2888" s="1">
        <f>0.000006*(1000000)</f>
        <v>6</v>
      </c>
    </row>
    <row r="2889" spans="1:4" x14ac:dyDescent="0.25">
      <c r="A2889" s="2">
        <v>36739</v>
      </c>
      <c r="B2889" s="1" t="s">
        <v>19</v>
      </c>
      <c r="C2889" s="1">
        <v>0</v>
      </c>
      <c r="D2889" s="1">
        <f>0.000004*(1000000)</f>
        <v>4</v>
      </c>
    </row>
    <row r="2890" spans="1:4" x14ac:dyDescent="0.25">
      <c r="A2890" s="2">
        <v>36770</v>
      </c>
      <c r="B2890" s="1" t="s">
        <v>19</v>
      </c>
      <c r="C2890" s="1">
        <v>0</v>
      </c>
      <c r="D2890" s="1">
        <f>0.000004*(1000000)</f>
        <v>4</v>
      </c>
    </row>
    <row r="2891" spans="1:4" x14ac:dyDescent="0.25">
      <c r="A2891" s="2">
        <v>36800</v>
      </c>
      <c r="B2891" s="1" t="s">
        <v>19</v>
      </c>
      <c r="C2891" s="1">
        <v>0</v>
      </c>
      <c r="D2891" s="1">
        <f>0.000004*(1000000)</f>
        <v>4</v>
      </c>
    </row>
    <row r="2892" spans="1:4" x14ac:dyDescent="0.25">
      <c r="A2892" s="2">
        <v>36831</v>
      </c>
      <c r="B2892" s="1" t="s">
        <v>19</v>
      </c>
      <c r="C2892" s="1">
        <v>0</v>
      </c>
      <c r="D2892" s="1">
        <f>0.000004*(1000000)</f>
        <v>4</v>
      </c>
    </row>
    <row r="2893" spans="1:4" x14ac:dyDescent="0.25">
      <c r="A2893" s="2">
        <v>36861</v>
      </c>
      <c r="B2893" s="1" t="s">
        <v>19</v>
      </c>
      <c r="C2893" s="1">
        <v>0</v>
      </c>
      <c r="D2893" s="1">
        <f>0.000005*(1000000)</f>
        <v>5</v>
      </c>
    </row>
    <row r="2894" spans="1:4" x14ac:dyDescent="0.25">
      <c r="A2894" s="2">
        <v>36892</v>
      </c>
      <c r="B2894" s="1" t="s">
        <v>19</v>
      </c>
      <c r="C2894" s="1">
        <v>0</v>
      </c>
      <c r="D2894" s="1">
        <f>0.000004*(1000000)</f>
        <v>4</v>
      </c>
    </row>
    <row r="2895" spans="1:4" x14ac:dyDescent="0.25">
      <c r="A2895" s="2">
        <v>36923</v>
      </c>
      <c r="B2895" s="1" t="s">
        <v>19</v>
      </c>
      <c r="C2895" s="1">
        <v>0</v>
      </c>
      <c r="D2895" s="1">
        <f>0.000004*(1000000)</f>
        <v>4</v>
      </c>
    </row>
    <row r="2896" spans="1:4" x14ac:dyDescent="0.25">
      <c r="A2896" s="2">
        <v>36951</v>
      </c>
      <c r="B2896" s="1" t="s">
        <v>19</v>
      </c>
      <c r="C2896" s="1">
        <v>0</v>
      </c>
      <c r="D2896" s="1">
        <f>0.000005*(1000000)</f>
        <v>5</v>
      </c>
    </row>
    <row r="2897" spans="1:4" x14ac:dyDescent="0.25">
      <c r="A2897" s="2">
        <v>36982</v>
      </c>
      <c r="B2897" s="1" t="s">
        <v>19</v>
      </c>
      <c r="C2897" s="1">
        <v>0</v>
      </c>
      <c r="D2897" s="1">
        <f>0.000002*(1000000)</f>
        <v>2</v>
      </c>
    </row>
    <row r="2898" spans="1:4" x14ac:dyDescent="0.25">
      <c r="A2898" s="2">
        <v>37012</v>
      </c>
      <c r="B2898" s="1" t="s">
        <v>19</v>
      </c>
      <c r="C2898" s="1">
        <v>0</v>
      </c>
      <c r="D2898" s="1">
        <f>0.000007*(1000000)</f>
        <v>7</v>
      </c>
    </row>
    <row r="2899" spans="1:4" x14ac:dyDescent="0.25">
      <c r="A2899" s="2">
        <v>37043</v>
      </c>
      <c r="B2899" s="1" t="s">
        <v>19</v>
      </c>
      <c r="C2899" s="1">
        <v>0</v>
      </c>
      <c r="D2899" s="1">
        <f>0.000005*(1000000)</f>
        <v>5</v>
      </c>
    </row>
    <row r="2900" spans="1:4" x14ac:dyDescent="0.25">
      <c r="A2900" s="2">
        <v>37073</v>
      </c>
      <c r="B2900" s="1" t="s">
        <v>19</v>
      </c>
      <c r="C2900" s="1">
        <v>0</v>
      </c>
      <c r="D2900" s="1">
        <f>0.000005*(1000000)</f>
        <v>5</v>
      </c>
    </row>
    <row r="2901" spans="1:4" x14ac:dyDescent="0.25">
      <c r="A2901" s="2">
        <v>37104</v>
      </c>
      <c r="B2901" s="1" t="s">
        <v>19</v>
      </c>
      <c r="C2901" s="1">
        <v>0</v>
      </c>
      <c r="D2901" s="1">
        <f>0.000005*(1000000)</f>
        <v>5</v>
      </c>
    </row>
    <row r="2902" spans="1:4" x14ac:dyDescent="0.25">
      <c r="A2902" s="2">
        <v>37135</v>
      </c>
      <c r="B2902" s="1" t="s">
        <v>19</v>
      </c>
      <c r="C2902" s="1">
        <v>0</v>
      </c>
      <c r="D2902" s="1">
        <f>0.000004*(1000000)</f>
        <v>4</v>
      </c>
    </row>
    <row r="2903" spans="1:4" x14ac:dyDescent="0.25">
      <c r="A2903" s="2">
        <v>37165</v>
      </c>
      <c r="B2903" s="1" t="s">
        <v>19</v>
      </c>
      <c r="C2903" s="1">
        <v>0</v>
      </c>
      <c r="D2903" s="1">
        <f>0.000005*(1000000)</f>
        <v>5</v>
      </c>
    </row>
    <row r="2904" spans="1:4" x14ac:dyDescent="0.25">
      <c r="A2904" s="2">
        <v>37196</v>
      </c>
      <c r="B2904" s="1" t="s">
        <v>19</v>
      </c>
      <c r="C2904" s="1">
        <v>0</v>
      </c>
      <c r="D2904" s="1">
        <f>0.000005*(1000000)</f>
        <v>5</v>
      </c>
    </row>
    <row r="2905" spans="1:4" x14ac:dyDescent="0.25">
      <c r="A2905" s="2">
        <v>37226</v>
      </c>
      <c r="B2905" s="1" t="s">
        <v>19</v>
      </c>
      <c r="C2905" s="1">
        <v>0</v>
      </c>
      <c r="D2905" s="1">
        <f>0.000003*(1000000)</f>
        <v>3</v>
      </c>
    </row>
    <row r="2906" spans="1:4" x14ac:dyDescent="0.25">
      <c r="A2906" s="2">
        <v>37257</v>
      </c>
      <c r="B2906" s="1" t="s">
        <v>19</v>
      </c>
      <c r="C2906" s="1">
        <v>0</v>
      </c>
      <c r="D2906" s="1">
        <f>0.000008*(1000000)</f>
        <v>8</v>
      </c>
    </row>
    <row r="2907" spans="1:4" x14ac:dyDescent="0.25">
      <c r="A2907" s="2">
        <v>37288</v>
      </c>
      <c r="B2907" s="1" t="s">
        <v>19</v>
      </c>
      <c r="C2907" s="1">
        <v>0</v>
      </c>
      <c r="D2907" s="1">
        <f>0.000005*(1000000)</f>
        <v>5</v>
      </c>
    </row>
    <row r="2908" spans="1:4" x14ac:dyDescent="0.25">
      <c r="A2908" s="2">
        <v>37316</v>
      </c>
      <c r="B2908" s="1" t="s">
        <v>19</v>
      </c>
      <c r="C2908" s="1">
        <v>0</v>
      </c>
      <c r="D2908" s="1">
        <f>0.000005*(1000000)</f>
        <v>5</v>
      </c>
    </row>
    <row r="2909" spans="1:4" x14ac:dyDescent="0.25">
      <c r="A2909" s="2">
        <v>37347</v>
      </c>
      <c r="B2909" s="1" t="s">
        <v>19</v>
      </c>
      <c r="C2909" s="1">
        <v>0</v>
      </c>
      <c r="D2909" s="1">
        <f>0.000005*(1000000)</f>
        <v>5</v>
      </c>
    </row>
    <row r="2910" spans="1:4" x14ac:dyDescent="0.25">
      <c r="A2910" s="2">
        <v>37377</v>
      </c>
      <c r="B2910" s="1" t="s">
        <v>19</v>
      </c>
      <c r="C2910" s="1">
        <v>0</v>
      </c>
      <c r="D2910" s="1">
        <f>0.000008*(1000000)</f>
        <v>8</v>
      </c>
    </row>
    <row r="2911" spans="1:4" x14ac:dyDescent="0.25">
      <c r="A2911" s="2">
        <v>37408</v>
      </c>
      <c r="B2911" s="1" t="s">
        <v>19</v>
      </c>
      <c r="C2911" s="1">
        <v>0</v>
      </c>
      <c r="D2911" s="1">
        <f>0.000004*(1000000)</f>
        <v>4</v>
      </c>
    </row>
    <row r="2912" spans="1:4" x14ac:dyDescent="0.25">
      <c r="A2912" s="2">
        <v>37438</v>
      </c>
      <c r="B2912" s="1" t="s">
        <v>19</v>
      </c>
      <c r="C2912" s="1">
        <v>0</v>
      </c>
      <c r="D2912" s="1">
        <f>0.000004*(1000000)</f>
        <v>4</v>
      </c>
    </row>
    <row r="2913" spans="1:4" x14ac:dyDescent="0.25">
      <c r="A2913" s="2">
        <v>37469</v>
      </c>
      <c r="B2913" s="1" t="s">
        <v>19</v>
      </c>
      <c r="C2913" s="1">
        <v>0</v>
      </c>
      <c r="D2913" s="1">
        <f>0.000003*(1000000)</f>
        <v>3</v>
      </c>
    </row>
    <row r="2914" spans="1:4" x14ac:dyDescent="0.25">
      <c r="A2914" s="2">
        <v>37500</v>
      </c>
      <c r="B2914" s="1" t="s">
        <v>19</v>
      </c>
      <c r="C2914" s="1">
        <v>0</v>
      </c>
      <c r="D2914" s="1">
        <f>0.000005*(1000000)</f>
        <v>5</v>
      </c>
    </row>
    <row r="2915" spans="1:4" x14ac:dyDescent="0.25">
      <c r="A2915" s="2">
        <v>37530</v>
      </c>
      <c r="B2915" s="1" t="s">
        <v>19</v>
      </c>
      <c r="C2915" s="1">
        <v>0</v>
      </c>
      <c r="D2915" s="1">
        <f>0.000005*(1000000)</f>
        <v>5</v>
      </c>
    </row>
    <row r="2916" spans="1:4" x14ac:dyDescent="0.25">
      <c r="A2916" s="2">
        <v>37561</v>
      </c>
      <c r="B2916" s="1" t="s">
        <v>19</v>
      </c>
      <c r="C2916" s="1">
        <v>0</v>
      </c>
      <c r="D2916" s="1">
        <f>0.000003*(1000000)</f>
        <v>3</v>
      </c>
    </row>
    <row r="2917" spans="1:4" x14ac:dyDescent="0.25">
      <c r="A2917" s="2">
        <v>37591</v>
      </c>
      <c r="B2917" s="1" t="s">
        <v>19</v>
      </c>
      <c r="C2917" s="1">
        <v>0</v>
      </c>
      <c r="D2917" s="1">
        <f>0.000002*(1000000)</f>
        <v>2</v>
      </c>
    </row>
    <row r="2918" spans="1:4" x14ac:dyDescent="0.25">
      <c r="A2918" s="2">
        <v>37622</v>
      </c>
      <c r="B2918" s="1" t="s">
        <v>19</v>
      </c>
      <c r="C2918" s="1">
        <v>0</v>
      </c>
      <c r="D2918" s="1">
        <f>0.000004*(1000000)</f>
        <v>4</v>
      </c>
    </row>
    <row r="2919" spans="1:4" x14ac:dyDescent="0.25">
      <c r="A2919" s="2">
        <v>37653</v>
      </c>
      <c r="B2919" s="1" t="s">
        <v>19</v>
      </c>
      <c r="C2919" s="1">
        <v>0</v>
      </c>
      <c r="D2919" s="1">
        <f>0.000003*(1000000)</f>
        <v>3</v>
      </c>
    </row>
    <row r="2920" spans="1:4" x14ac:dyDescent="0.25">
      <c r="A2920" s="2">
        <v>37681</v>
      </c>
      <c r="B2920" s="1" t="s">
        <v>19</v>
      </c>
      <c r="C2920" s="1">
        <v>0</v>
      </c>
      <c r="D2920" s="1">
        <f>0.000005*(1000000)</f>
        <v>5</v>
      </c>
    </row>
    <row r="2921" spans="1:4" x14ac:dyDescent="0.25">
      <c r="A2921" s="2">
        <v>37712</v>
      </c>
      <c r="B2921" s="1" t="s">
        <v>19</v>
      </c>
      <c r="C2921" s="1">
        <v>0</v>
      </c>
      <c r="D2921" s="1">
        <f>0.000001*(1000000)</f>
        <v>1</v>
      </c>
    </row>
    <row r="2922" spans="1:4" x14ac:dyDescent="0.25">
      <c r="A2922" s="2">
        <v>37742</v>
      </c>
      <c r="B2922" s="1" t="s">
        <v>19</v>
      </c>
      <c r="C2922" s="1">
        <v>0</v>
      </c>
      <c r="D2922" s="1">
        <f>0*(1000000)</f>
        <v>0</v>
      </c>
    </row>
    <row r="2923" spans="1:4" x14ac:dyDescent="0.25">
      <c r="A2923" s="2">
        <v>37773</v>
      </c>
      <c r="B2923" s="1" t="s">
        <v>19</v>
      </c>
      <c r="C2923" s="1">
        <v>0</v>
      </c>
      <c r="D2923" s="1">
        <f>0.000001*(1000000)</f>
        <v>1</v>
      </c>
    </row>
    <row r="2924" spans="1:4" x14ac:dyDescent="0.25">
      <c r="A2924" s="2">
        <v>37803</v>
      </c>
      <c r="B2924" s="1" t="s">
        <v>19</v>
      </c>
      <c r="C2924" s="1">
        <v>0</v>
      </c>
      <c r="D2924" s="1">
        <f>0.000006*(1000000)</f>
        <v>6</v>
      </c>
    </row>
    <row r="2925" spans="1:4" x14ac:dyDescent="0.25">
      <c r="A2925" s="2">
        <v>37834</v>
      </c>
      <c r="B2925" s="1" t="s">
        <v>19</v>
      </c>
      <c r="C2925" s="1">
        <v>0</v>
      </c>
      <c r="D2925" s="1">
        <f>0.000003*(1000000)</f>
        <v>3</v>
      </c>
    </row>
    <row r="2926" spans="1:4" x14ac:dyDescent="0.25">
      <c r="A2926" s="2">
        <v>37865</v>
      </c>
      <c r="B2926" s="1" t="s">
        <v>19</v>
      </c>
      <c r="C2926" s="1">
        <v>0</v>
      </c>
      <c r="D2926" s="1">
        <f>0.000001*(1000000)</f>
        <v>1</v>
      </c>
    </row>
    <row r="2927" spans="1:4" x14ac:dyDescent="0.25">
      <c r="A2927" s="2">
        <v>37895</v>
      </c>
      <c r="B2927" s="1" t="s">
        <v>19</v>
      </c>
      <c r="C2927" s="1">
        <v>0</v>
      </c>
      <c r="D2927" s="1">
        <f>0.000003*(1000000)</f>
        <v>3</v>
      </c>
    </row>
    <row r="2928" spans="1:4" x14ac:dyDescent="0.25">
      <c r="A2928" s="2">
        <v>37926</v>
      </c>
      <c r="B2928" s="1" t="s">
        <v>19</v>
      </c>
      <c r="C2928" s="1">
        <v>0</v>
      </c>
      <c r="D2928" s="1">
        <f>0.000002*(1000000)</f>
        <v>2</v>
      </c>
    </row>
    <row r="2929" spans="1:4" x14ac:dyDescent="0.25">
      <c r="A2929" s="2">
        <v>37956</v>
      </c>
      <c r="B2929" s="1" t="s">
        <v>19</v>
      </c>
      <c r="C2929" s="1">
        <v>0</v>
      </c>
      <c r="D2929" s="1">
        <f>0.000004*(1000000)</f>
        <v>4</v>
      </c>
    </row>
    <row r="2930" spans="1:4" x14ac:dyDescent="0.25">
      <c r="A2930" s="2">
        <v>37987</v>
      </c>
      <c r="B2930" s="1" t="s">
        <v>19</v>
      </c>
      <c r="C2930" s="1">
        <v>0</v>
      </c>
      <c r="D2930" s="1">
        <f>0.000004*(1000000)</f>
        <v>4</v>
      </c>
    </row>
    <row r="2931" spans="1:4" x14ac:dyDescent="0.25">
      <c r="A2931" s="2">
        <v>38018</v>
      </c>
      <c r="B2931" s="1" t="s">
        <v>19</v>
      </c>
      <c r="C2931" s="1">
        <v>0</v>
      </c>
      <c r="D2931" s="1">
        <f>0.000008*(1000000)</f>
        <v>8</v>
      </c>
    </row>
    <row r="2932" spans="1:4" x14ac:dyDescent="0.25">
      <c r="A2932" s="2">
        <v>38047</v>
      </c>
      <c r="B2932" s="1" t="s">
        <v>19</v>
      </c>
      <c r="C2932" s="1">
        <v>0</v>
      </c>
      <c r="D2932" s="1">
        <f>0.000005*(1000000)</f>
        <v>5</v>
      </c>
    </row>
    <row r="2933" spans="1:4" x14ac:dyDescent="0.25">
      <c r="A2933" s="2">
        <v>38078</v>
      </c>
      <c r="B2933" s="1" t="s">
        <v>19</v>
      </c>
      <c r="C2933" s="1">
        <v>0</v>
      </c>
      <c r="D2933" s="1">
        <f>0.000003*(1000000)</f>
        <v>3</v>
      </c>
    </row>
    <row r="2934" spans="1:4" x14ac:dyDescent="0.25">
      <c r="A2934" s="2">
        <v>38108</v>
      </c>
      <c r="B2934" s="1" t="s">
        <v>19</v>
      </c>
      <c r="C2934" s="1">
        <v>0</v>
      </c>
      <c r="D2934" s="1">
        <f>0.000002*(1000000)</f>
        <v>2</v>
      </c>
    </row>
    <row r="2935" spans="1:4" x14ac:dyDescent="0.25">
      <c r="A2935" s="2">
        <v>38139</v>
      </c>
      <c r="B2935" s="1" t="s">
        <v>19</v>
      </c>
      <c r="C2935" s="1">
        <v>0</v>
      </c>
      <c r="D2935" s="1">
        <f>0.000004*(1000000)</f>
        <v>4</v>
      </c>
    </row>
    <row r="2936" spans="1:4" x14ac:dyDescent="0.25">
      <c r="A2936" s="2">
        <v>38169</v>
      </c>
      <c r="B2936" s="1" t="s">
        <v>19</v>
      </c>
      <c r="C2936" s="1">
        <v>0</v>
      </c>
      <c r="D2936" s="1">
        <f>0.000005*(1000000)</f>
        <v>5</v>
      </c>
    </row>
    <row r="2937" spans="1:4" x14ac:dyDescent="0.25">
      <c r="A2937" s="2">
        <v>38200</v>
      </c>
      <c r="B2937" s="1" t="s">
        <v>19</v>
      </c>
      <c r="C2937" s="1">
        <v>0</v>
      </c>
      <c r="D2937" s="1">
        <f>0.000006*(1000000)</f>
        <v>6</v>
      </c>
    </row>
    <row r="2938" spans="1:4" x14ac:dyDescent="0.25">
      <c r="A2938" s="2">
        <v>38231</v>
      </c>
      <c r="B2938" s="1" t="s">
        <v>19</v>
      </c>
      <c r="C2938" s="1">
        <v>0</v>
      </c>
      <c r="D2938" s="1">
        <f>0.000003*(1000000)</f>
        <v>3</v>
      </c>
    </row>
    <row r="2939" spans="1:4" x14ac:dyDescent="0.25">
      <c r="A2939" s="2">
        <v>38261</v>
      </c>
      <c r="B2939" s="1" t="s">
        <v>19</v>
      </c>
      <c r="C2939" s="1">
        <v>0</v>
      </c>
      <c r="D2939" s="1">
        <f>0.000003*(1000000)</f>
        <v>3</v>
      </c>
    </row>
    <row r="2940" spans="1:4" x14ac:dyDescent="0.25">
      <c r="A2940" s="2">
        <v>38292</v>
      </c>
      <c r="B2940" s="1" t="s">
        <v>19</v>
      </c>
      <c r="C2940" s="1">
        <v>0</v>
      </c>
      <c r="D2940" s="1">
        <f>0.000003*(1000000)</f>
        <v>3</v>
      </c>
    </row>
    <row r="2941" spans="1:4" x14ac:dyDescent="0.25">
      <c r="A2941" s="2">
        <v>38322</v>
      </c>
      <c r="B2941" s="1" t="s">
        <v>19</v>
      </c>
      <c r="C2941" s="1">
        <v>0</v>
      </c>
      <c r="D2941" s="1">
        <f>0.000007*(1000000)</f>
        <v>7</v>
      </c>
    </row>
    <row r="2942" spans="1:4" x14ac:dyDescent="0.25">
      <c r="A2942" s="2">
        <v>38353</v>
      </c>
      <c r="B2942" s="1" t="s">
        <v>19</v>
      </c>
      <c r="C2942" s="1">
        <v>0</v>
      </c>
      <c r="D2942" s="1">
        <f>0.000004*(1000000)</f>
        <v>4</v>
      </c>
    </row>
    <row r="2943" spans="1:4" x14ac:dyDescent="0.25">
      <c r="A2943" s="2">
        <v>38384</v>
      </c>
      <c r="B2943" s="1" t="s">
        <v>19</v>
      </c>
      <c r="C2943" s="1">
        <v>0</v>
      </c>
      <c r="D2943" s="1">
        <f>0.000005*(1000000)</f>
        <v>5</v>
      </c>
    </row>
    <row r="2944" spans="1:4" x14ac:dyDescent="0.25">
      <c r="A2944" s="2">
        <v>38412</v>
      </c>
      <c r="B2944" s="1" t="s">
        <v>19</v>
      </c>
      <c r="C2944" s="1">
        <v>0</v>
      </c>
      <c r="D2944" s="1">
        <f>0.000004*(1000000)</f>
        <v>4</v>
      </c>
    </row>
    <row r="2945" spans="1:4" x14ac:dyDescent="0.25">
      <c r="A2945" s="2">
        <v>38443</v>
      </c>
      <c r="B2945" s="1" t="s">
        <v>19</v>
      </c>
      <c r="C2945" s="1">
        <v>0</v>
      </c>
      <c r="D2945" s="1">
        <f>0.000006*(1000000)</f>
        <v>6</v>
      </c>
    </row>
    <row r="2946" spans="1:4" x14ac:dyDescent="0.25">
      <c r="A2946" s="2">
        <v>38473</v>
      </c>
      <c r="B2946" s="1" t="s">
        <v>19</v>
      </c>
      <c r="C2946" s="1">
        <v>0</v>
      </c>
      <c r="D2946" s="1">
        <f>0.000004*(1000000)</f>
        <v>4</v>
      </c>
    </row>
    <row r="2947" spans="1:4" x14ac:dyDescent="0.25">
      <c r="A2947" s="2">
        <v>38504</v>
      </c>
      <c r="B2947" s="1" t="s">
        <v>19</v>
      </c>
      <c r="C2947" s="1">
        <v>0</v>
      </c>
      <c r="D2947" s="1">
        <f>0.000004*(1000000)</f>
        <v>4</v>
      </c>
    </row>
    <row r="2948" spans="1:4" x14ac:dyDescent="0.25">
      <c r="A2948" s="2">
        <v>38534</v>
      </c>
      <c r="B2948" s="1" t="s">
        <v>19</v>
      </c>
      <c r="C2948" s="1">
        <v>0</v>
      </c>
      <c r="D2948" s="1">
        <f>0.000003*(1000000)</f>
        <v>3</v>
      </c>
    </row>
    <row r="2949" spans="1:4" x14ac:dyDescent="0.25">
      <c r="A2949" s="2">
        <v>38565</v>
      </c>
      <c r="B2949" s="1" t="s">
        <v>19</v>
      </c>
      <c r="C2949" s="1">
        <v>0</v>
      </c>
      <c r="D2949" s="1">
        <f>0.000006*(1000000)</f>
        <v>6</v>
      </c>
    </row>
    <row r="2950" spans="1:4" x14ac:dyDescent="0.25">
      <c r="A2950" s="2">
        <v>38596</v>
      </c>
      <c r="B2950" s="1" t="s">
        <v>19</v>
      </c>
      <c r="C2950" s="1">
        <v>0</v>
      </c>
      <c r="D2950" s="1">
        <f>0.000006*(1000000)</f>
        <v>6</v>
      </c>
    </row>
    <row r="2951" spans="1:4" x14ac:dyDescent="0.25">
      <c r="A2951" s="2">
        <v>38626</v>
      </c>
      <c r="B2951" s="1" t="s">
        <v>19</v>
      </c>
      <c r="C2951" s="1">
        <v>0</v>
      </c>
      <c r="D2951" s="1">
        <f>0.000005*(1000000)</f>
        <v>5</v>
      </c>
    </row>
    <row r="2952" spans="1:4" x14ac:dyDescent="0.25">
      <c r="A2952" s="2">
        <v>38657</v>
      </c>
      <c r="B2952" s="1" t="s">
        <v>19</v>
      </c>
      <c r="C2952" s="1">
        <v>0</v>
      </c>
      <c r="D2952" s="1">
        <f>0.000004*(1000000)</f>
        <v>4</v>
      </c>
    </row>
    <row r="2953" spans="1:4" x14ac:dyDescent="0.25">
      <c r="A2953" s="2">
        <v>38687</v>
      </c>
      <c r="B2953" s="1" t="s">
        <v>19</v>
      </c>
      <c r="C2953" s="1">
        <v>0</v>
      </c>
      <c r="D2953" s="1">
        <f>0.000004*(1000000)</f>
        <v>4</v>
      </c>
    </row>
    <row r="2954" spans="1:4" x14ac:dyDescent="0.25">
      <c r="A2954" s="2">
        <v>38718</v>
      </c>
      <c r="B2954" s="1" t="s">
        <v>19</v>
      </c>
      <c r="C2954" s="1">
        <v>0</v>
      </c>
      <c r="D2954" s="1">
        <f>0.000005*(1000000)</f>
        <v>5</v>
      </c>
    </row>
    <row r="2955" spans="1:4" x14ac:dyDescent="0.25">
      <c r="A2955" s="2">
        <v>38749</v>
      </c>
      <c r="B2955" s="1" t="s">
        <v>19</v>
      </c>
      <c r="C2955" s="1">
        <v>0</v>
      </c>
      <c r="D2955" s="1">
        <f>0.000003*(1000000)</f>
        <v>3</v>
      </c>
    </row>
    <row r="2956" spans="1:4" x14ac:dyDescent="0.25">
      <c r="A2956" s="2">
        <v>38777</v>
      </c>
      <c r="B2956" s="1" t="s">
        <v>19</v>
      </c>
      <c r="C2956" s="1">
        <v>0</v>
      </c>
      <c r="D2956" s="1">
        <f>0.000003*(1000000)</f>
        <v>3</v>
      </c>
    </row>
    <row r="2957" spans="1:4" x14ac:dyDescent="0.25">
      <c r="A2957" s="2">
        <v>38808</v>
      </c>
      <c r="B2957" s="1" t="s">
        <v>19</v>
      </c>
      <c r="C2957" s="1">
        <v>0</v>
      </c>
      <c r="D2957" s="1">
        <f>0.000004*(1000000)</f>
        <v>4</v>
      </c>
    </row>
    <row r="2958" spans="1:4" x14ac:dyDescent="0.25">
      <c r="A2958" s="2">
        <v>38838</v>
      </c>
      <c r="B2958" s="1" t="s">
        <v>19</v>
      </c>
      <c r="C2958" s="1">
        <v>0</v>
      </c>
      <c r="D2958" s="1">
        <f>0.000004*(1000000)</f>
        <v>4</v>
      </c>
    </row>
    <row r="2959" spans="1:4" x14ac:dyDescent="0.25">
      <c r="A2959" s="2">
        <v>38869</v>
      </c>
      <c r="B2959" s="1" t="s">
        <v>19</v>
      </c>
      <c r="C2959" s="1">
        <v>0</v>
      </c>
      <c r="D2959" s="1">
        <f>0.000005*(1000000)</f>
        <v>5</v>
      </c>
    </row>
    <row r="2960" spans="1:4" x14ac:dyDescent="0.25">
      <c r="A2960" s="2">
        <v>38899</v>
      </c>
      <c r="B2960" s="1" t="s">
        <v>19</v>
      </c>
      <c r="C2960" s="1">
        <v>0</v>
      </c>
      <c r="D2960" s="1">
        <f>0.000004*(1000000)</f>
        <v>4</v>
      </c>
    </row>
    <row r="2961" spans="1:4" x14ac:dyDescent="0.25">
      <c r="A2961" s="2">
        <v>38930</v>
      </c>
      <c r="B2961" s="1" t="s">
        <v>19</v>
      </c>
      <c r="C2961" s="1">
        <v>0</v>
      </c>
      <c r="D2961" s="1">
        <f>0.000005*(1000000)</f>
        <v>5</v>
      </c>
    </row>
    <row r="2962" spans="1:4" x14ac:dyDescent="0.25">
      <c r="A2962" s="2">
        <v>38961</v>
      </c>
      <c r="B2962" s="1" t="s">
        <v>19</v>
      </c>
      <c r="C2962" s="1">
        <v>0</v>
      </c>
      <c r="D2962" s="1">
        <f>0.000124*(1000000)</f>
        <v>124</v>
      </c>
    </row>
    <row r="2963" spans="1:4" x14ac:dyDescent="0.25">
      <c r="A2963" s="2">
        <v>38991</v>
      </c>
      <c r="B2963" s="1" t="s">
        <v>19</v>
      </c>
      <c r="C2963" s="1">
        <v>0</v>
      </c>
      <c r="D2963" s="1">
        <f>0.000123*(1000000)</f>
        <v>123.00000000000001</v>
      </c>
    </row>
    <row r="2964" spans="1:4" x14ac:dyDescent="0.25">
      <c r="A2964" s="2">
        <v>39022</v>
      </c>
      <c r="B2964" s="1" t="s">
        <v>19</v>
      </c>
      <c r="C2964" s="1">
        <v>0</v>
      </c>
      <c r="D2964" s="1">
        <f>0.000046*(1000000)</f>
        <v>46</v>
      </c>
    </row>
    <row r="2965" spans="1:4" x14ac:dyDescent="0.25">
      <c r="A2965" s="2">
        <v>39052</v>
      </c>
      <c r="B2965" s="1" t="s">
        <v>19</v>
      </c>
      <c r="C2965" s="1">
        <v>0</v>
      </c>
      <c r="D2965" s="1">
        <f>0.000119*(1000000)</f>
        <v>119</v>
      </c>
    </row>
    <row r="2966" spans="1:4" x14ac:dyDescent="0.25">
      <c r="A2966" s="2">
        <v>39083</v>
      </c>
      <c r="B2966" s="1" t="s">
        <v>19</v>
      </c>
      <c r="C2966" s="1">
        <v>0</v>
      </c>
      <c r="D2966" s="1">
        <f>0.000093*(1000000)</f>
        <v>93</v>
      </c>
    </row>
    <row r="2967" spans="1:4" x14ac:dyDescent="0.25">
      <c r="A2967" s="2">
        <v>39114</v>
      </c>
      <c r="B2967" s="1" t="s">
        <v>19</v>
      </c>
      <c r="C2967" s="1">
        <v>0</v>
      </c>
      <c r="D2967" s="1">
        <f>0.000105*(1000000)</f>
        <v>105</v>
      </c>
    </row>
    <row r="2968" spans="1:4" x14ac:dyDescent="0.25">
      <c r="A2968" s="2">
        <v>39142</v>
      </c>
      <c r="B2968" s="1" t="s">
        <v>19</v>
      </c>
      <c r="C2968" s="1">
        <v>0</v>
      </c>
      <c r="D2968" s="1">
        <f>0.000083*(1000000)</f>
        <v>83</v>
      </c>
    </row>
    <row r="2969" spans="1:4" x14ac:dyDescent="0.25">
      <c r="A2969" s="2">
        <v>39173</v>
      </c>
      <c r="B2969" s="1" t="s">
        <v>19</v>
      </c>
      <c r="C2969" s="1">
        <v>0</v>
      </c>
      <c r="D2969" s="1">
        <f>0.000085*(1000000)</f>
        <v>85</v>
      </c>
    </row>
    <row r="2970" spans="1:4" x14ac:dyDescent="0.25">
      <c r="A2970" s="2">
        <v>39203</v>
      </c>
      <c r="B2970" s="1" t="s">
        <v>19</v>
      </c>
      <c r="C2970" s="1">
        <v>0</v>
      </c>
      <c r="D2970" s="1">
        <f>0.000079*(1000000)</f>
        <v>79</v>
      </c>
    </row>
    <row r="2971" spans="1:4" x14ac:dyDescent="0.25">
      <c r="A2971" s="2">
        <v>39234</v>
      </c>
      <c r="B2971" s="1" t="s">
        <v>19</v>
      </c>
      <c r="C2971" s="1">
        <v>0</v>
      </c>
      <c r="D2971" s="1">
        <f>0.000078*(1000000)</f>
        <v>78</v>
      </c>
    </row>
    <row r="2972" spans="1:4" x14ac:dyDescent="0.25">
      <c r="A2972" s="2">
        <v>39264</v>
      </c>
      <c r="B2972" s="1" t="s">
        <v>19</v>
      </c>
      <c r="C2972" s="1">
        <v>0</v>
      </c>
      <c r="D2972" s="1">
        <f>0.000072*(1000000)</f>
        <v>72</v>
      </c>
    </row>
    <row r="2973" spans="1:4" x14ac:dyDescent="0.25">
      <c r="A2973" s="2">
        <v>39295</v>
      </c>
      <c r="B2973" s="1" t="s">
        <v>19</v>
      </c>
      <c r="C2973" s="1">
        <v>0</v>
      </c>
      <c r="D2973" s="1">
        <f>0.000058*(1000000)</f>
        <v>58</v>
      </c>
    </row>
    <row r="2974" spans="1:4" x14ac:dyDescent="0.25">
      <c r="A2974" s="2">
        <v>39326</v>
      </c>
      <c r="B2974" s="1" t="s">
        <v>19</v>
      </c>
      <c r="C2974" s="1">
        <v>0</v>
      </c>
      <c r="D2974" s="1">
        <f>0.000005*(1000000)</f>
        <v>5</v>
      </c>
    </row>
    <row r="2975" spans="1:4" x14ac:dyDescent="0.25">
      <c r="A2975" s="2">
        <v>39356</v>
      </c>
      <c r="B2975" s="1" t="s">
        <v>19</v>
      </c>
      <c r="C2975" s="1">
        <v>0</v>
      </c>
      <c r="D2975" s="1">
        <f>0.000022*(1000000)</f>
        <v>22</v>
      </c>
    </row>
    <row r="2976" spans="1:4" x14ac:dyDescent="0.25">
      <c r="A2976" s="2">
        <v>39387</v>
      </c>
      <c r="B2976" s="1" t="s">
        <v>19</v>
      </c>
      <c r="C2976" s="1">
        <v>0</v>
      </c>
      <c r="D2976" s="1">
        <f>0.000007*(1000000)</f>
        <v>7</v>
      </c>
    </row>
    <row r="2977" spans="1:4" x14ac:dyDescent="0.25">
      <c r="A2977" s="2">
        <v>39417</v>
      </c>
      <c r="B2977" s="1" t="s">
        <v>19</v>
      </c>
      <c r="C2977" s="1">
        <v>0</v>
      </c>
      <c r="D2977" s="1">
        <f>0.000025*(1000000)</f>
        <v>25</v>
      </c>
    </row>
    <row r="2978" spans="1:4" x14ac:dyDescent="0.25">
      <c r="A2978" s="2">
        <v>39448</v>
      </c>
      <c r="B2978" s="1" t="s">
        <v>19</v>
      </c>
      <c r="C2978" s="1">
        <v>0</v>
      </c>
      <c r="D2978" s="1">
        <f>0.000089*(1000000)</f>
        <v>89</v>
      </c>
    </row>
    <row r="2979" spans="1:4" x14ac:dyDescent="0.25">
      <c r="A2979" s="2">
        <v>39479</v>
      </c>
      <c r="B2979" s="1" t="s">
        <v>19</v>
      </c>
      <c r="C2979" s="1">
        <v>0</v>
      </c>
      <c r="D2979" s="1">
        <f>0.00017*(1000000)</f>
        <v>170</v>
      </c>
    </row>
    <row r="2980" spans="1:4" x14ac:dyDescent="0.25">
      <c r="A2980" s="2">
        <v>39508</v>
      </c>
      <c r="B2980" s="1" t="s">
        <v>19</v>
      </c>
      <c r="C2980" s="1">
        <v>0</v>
      </c>
      <c r="D2980" s="1">
        <f>0.000173*(1000000)</f>
        <v>173</v>
      </c>
    </row>
    <row r="2981" spans="1:4" x14ac:dyDescent="0.25">
      <c r="A2981" s="2">
        <v>39539</v>
      </c>
      <c r="B2981" s="1" t="s">
        <v>19</v>
      </c>
      <c r="C2981" s="1">
        <v>0</v>
      </c>
      <c r="D2981" s="1">
        <f>0.000354*(1000000)</f>
        <v>354</v>
      </c>
    </row>
    <row r="2982" spans="1:4" x14ac:dyDescent="0.25">
      <c r="A2982" s="2">
        <v>39569</v>
      </c>
      <c r="B2982" s="1" t="s">
        <v>19</v>
      </c>
      <c r="C2982" s="1">
        <v>0</v>
      </c>
      <c r="D2982" s="1">
        <f>0.000491*(1000000)</f>
        <v>491</v>
      </c>
    </row>
    <row r="2983" spans="1:4" x14ac:dyDescent="0.25">
      <c r="A2983" s="2">
        <v>39600</v>
      </c>
      <c r="B2983" s="1" t="s">
        <v>19</v>
      </c>
      <c r="C2983" s="1">
        <v>0</v>
      </c>
      <c r="D2983" s="1">
        <f>0.000789*(1000000)</f>
        <v>789</v>
      </c>
    </row>
    <row r="2984" spans="1:4" x14ac:dyDescent="0.25">
      <c r="A2984" s="2">
        <v>39630</v>
      </c>
      <c r="B2984" s="1" t="s">
        <v>19</v>
      </c>
      <c r="C2984" s="1">
        <v>0</v>
      </c>
      <c r="D2984" s="1">
        <f>0.000367*(1000000)</f>
        <v>367</v>
      </c>
    </row>
    <row r="2985" spans="1:4" x14ac:dyDescent="0.25">
      <c r="A2985" s="2">
        <v>39661</v>
      </c>
      <c r="B2985" s="1" t="s">
        <v>19</v>
      </c>
      <c r="C2985" s="1">
        <v>0</v>
      </c>
      <c r="D2985" s="1">
        <f>0.000309*(1000000)</f>
        <v>309</v>
      </c>
    </row>
    <row r="2986" spans="1:4" x14ac:dyDescent="0.25">
      <c r="A2986" s="2">
        <v>39692</v>
      </c>
      <c r="B2986" s="1" t="s">
        <v>19</v>
      </c>
      <c r="C2986" s="1">
        <v>0</v>
      </c>
      <c r="D2986" s="1">
        <f>0.000734*(1000000)</f>
        <v>734</v>
      </c>
    </row>
    <row r="2987" spans="1:4" x14ac:dyDescent="0.25">
      <c r="A2987" s="2">
        <v>39722</v>
      </c>
      <c r="B2987" s="1" t="s">
        <v>19</v>
      </c>
      <c r="C2987" s="1">
        <v>0</v>
      </c>
      <c r="D2987" s="1">
        <f>0.001141*(1000000)</f>
        <v>1141</v>
      </c>
    </row>
    <row r="2988" spans="1:4" x14ac:dyDescent="0.25">
      <c r="A2988" s="2">
        <v>39753</v>
      </c>
      <c r="B2988" s="1" t="s">
        <v>19</v>
      </c>
      <c r="C2988" s="1">
        <v>0</v>
      </c>
      <c r="D2988" s="1">
        <f>0.001016*(1000000)</f>
        <v>1016</v>
      </c>
    </row>
    <row r="2989" spans="1:4" x14ac:dyDescent="0.25">
      <c r="A2989" s="2">
        <v>39783</v>
      </c>
      <c r="B2989" s="1" t="s">
        <v>19</v>
      </c>
      <c r="C2989" s="1">
        <v>0</v>
      </c>
      <c r="D2989" s="1">
        <f>0.00084*(1000000)</f>
        <v>840</v>
      </c>
    </row>
    <row r="2990" spans="1:4" x14ac:dyDescent="0.25">
      <c r="A2990" s="2">
        <v>39814</v>
      </c>
      <c r="B2990" s="1" t="s">
        <v>19</v>
      </c>
      <c r="C2990" s="1">
        <v>0</v>
      </c>
      <c r="D2990" s="1">
        <f>0.000812*(1000000)</f>
        <v>812</v>
      </c>
    </row>
    <row r="2991" spans="1:4" x14ac:dyDescent="0.25">
      <c r="A2991" s="2">
        <v>39845</v>
      </c>
      <c r="B2991" s="1" t="s">
        <v>19</v>
      </c>
      <c r="C2991" s="1">
        <v>0</v>
      </c>
      <c r="D2991" s="1">
        <f>0.00112*(1000000)</f>
        <v>1120</v>
      </c>
    </row>
    <row r="2992" spans="1:4" x14ac:dyDescent="0.25">
      <c r="A2992" s="2">
        <v>39873</v>
      </c>
      <c r="B2992" s="1" t="s">
        <v>19</v>
      </c>
      <c r="C2992" s="1">
        <v>0</v>
      </c>
      <c r="D2992" s="1">
        <f>0.001283*(1000000)</f>
        <v>1283</v>
      </c>
    </row>
    <row r="2993" spans="1:4" x14ac:dyDescent="0.25">
      <c r="A2993" s="2">
        <v>39904</v>
      </c>
      <c r="B2993" s="1" t="s">
        <v>19</v>
      </c>
      <c r="C2993" s="1">
        <v>0</v>
      </c>
      <c r="D2993" s="1">
        <f>0.00163*(1000000)</f>
        <v>1630</v>
      </c>
    </row>
    <row r="2994" spans="1:4" x14ac:dyDescent="0.25">
      <c r="A2994" s="2">
        <v>39934</v>
      </c>
      <c r="B2994" s="1" t="s">
        <v>19</v>
      </c>
      <c r="C2994" s="1">
        <v>0</v>
      </c>
      <c r="D2994" s="1">
        <f>0.001714*(1000000)</f>
        <v>1714</v>
      </c>
    </row>
    <row r="2995" spans="1:4" x14ac:dyDescent="0.25">
      <c r="A2995" s="2">
        <v>39965</v>
      </c>
      <c r="B2995" s="1" t="s">
        <v>19</v>
      </c>
      <c r="C2995" s="1">
        <v>0</v>
      </c>
      <c r="D2995" s="1">
        <f>0.001356*(1000000)</f>
        <v>1356</v>
      </c>
    </row>
    <row r="2996" spans="1:4" x14ac:dyDescent="0.25">
      <c r="A2996" s="2">
        <v>39995</v>
      </c>
      <c r="B2996" s="1" t="s">
        <v>19</v>
      </c>
      <c r="C2996" s="1">
        <v>0</v>
      </c>
      <c r="D2996" s="1">
        <f>0.001901*(1000000)</f>
        <v>1901</v>
      </c>
    </row>
    <row r="2997" spans="1:4" x14ac:dyDescent="0.25">
      <c r="A2997" s="2">
        <v>40026</v>
      </c>
      <c r="B2997" s="1" t="s">
        <v>19</v>
      </c>
      <c r="C2997" s="1">
        <v>0</v>
      </c>
      <c r="D2997" s="1">
        <f>0.002111*(1000000)</f>
        <v>2111</v>
      </c>
    </row>
    <row r="2998" spans="1:4" x14ac:dyDescent="0.25">
      <c r="A2998" s="2">
        <v>40057</v>
      </c>
      <c r="B2998" s="1" t="s">
        <v>19</v>
      </c>
      <c r="C2998" s="1">
        <v>0</v>
      </c>
      <c r="D2998" s="1">
        <f>0.002977*(1000000)</f>
        <v>2977</v>
      </c>
    </row>
    <row r="2999" spans="1:4" x14ac:dyDescent="0.25">
      <c r="A2999" s="2">
        <v>40087</v>
      </c>
      <c r="B2999" s="1" t="s">
        <v>19</v>
      </c>
      <c r="C2999" s="1">
        <v>0</v>
      </c>
      <c r="D2999" s="1">
        <f>0.004834*(1000000)</f>
        <v>4834</v>
      </c>
    </row>
    <row r="3000" spans="1:4" x14ac:dyDescent="0.25">
      <c r="A3000" s="2">
        <v>40118</v>
      </c>
      <c r="B3000" s="1" t="s">
        <v>19</v>
      </c>
      <c r="C3000" s="1">
        <v>0</v>
      </c>
      <c r="D3000" s="1">
        <f>0.006531*(1000000)</f>
        <v>6531</v>
      </c>
    </row>
    <row r="3001" spans="1:4" x14ac:dyDescent="0.25">
      <c r="A3001" s="2">
        <v>40148</v>
      </c>
      <c r="B3001" s="1" t="s">
        <v>19</v>
      </c>
      <c r="C3001" s="1">
        <v>0</v>
      </c>
      <c r="D3001" s="1">
        <f>0.007058*(1000000)</f>
        <v>7058</v>
      </c>
    </row>
    <row r="3002" spans="1:4" x14ac:dyDescent="0.25">
      <c r="A3002" s="2">
        <v>40179</v>
      </c>
      <c r="B3002" s="1" t="s">
        <v>19</v>
      </c>
      <c r="C3002" s="1">
        <v>0</v>
      </c>
      <c r="D3002" s="1">
        <f>0.007723*(1000000)</f>
        <v>7723</v>
      </c>
    </row>
    <row r="3003" spans="1:4" x14ac:dyDescent="0.25">
      <c r="A3003" s="2">
        <v>40210</v>
      </c>
      <c r="B3003" s="1" t="s">
        <v>19</v>
      </c>
      <c r="C3003" s="1">
        <v>0</v>
      </c>
      <c r="D3003" s="1">
        <f>0.007489*(1000000)</f>
        <v>7489</v>
      </c>
    </row>
    <row r="3004" spans="1:4" x14ac:dyDescent="0.25">
      <c r="A3004" s="2">
        <v>40238</v>
      </c>
      <c r="B3004" s="1" t="s">
        <v>19</v>
      </c>
      <c r="C3004" s="1">
        <v>0</v>
      </c>
      <c r="D3004" s="1">
        <f>0.012198*(1000000)</f>
        <v>12198</v>
      </c>
    </row>
    <row r="3005" spans="1:4" x14ac:dyDescent="0.25">
      <c r="A3005" s="2">
        <v>40269</v>
      </c>
      <c r="B3005" s="1" t="s">
        <v>19</v>
      </c>
      <c r="C3005" s="1">
        <v>0</v>
      </c>
      <c r="D3005" s="1">
        <f>0.015326*(1000000)</f>
        <v>15326</v>
      </c>
    </row>
    <row r="3006" spans="1:4" x14ac:dyDescent="0.25">
      <c r="A3006" s="2">
        <v>40299</v>
      </c>
      <c r="B3006" s="1" t="s">
        <v>19</v>
      </c>
      <c r="C3006" s="1">
        <v>0</v>
      </c>
      <c r="D3006" s="1">
        <f>0.019229*(1000000)</f>
        <v>19229</v>
      </c>
    </row>
    <row r="3007" spans="1:4" x14ac:dyDescent="0.25">
      <c r="A3007" s="2">
        <v>40330</v>
      </c>
      <c r="B3007" s="1" t="s">
        <v>19</v>
      </c>
      <c r="C3007" s="1">
        <v>0</v>
      </c>
      <c r="D3007" s="1">
        <f>0.026127*(1000000)</f>
        <v>26127</v>
      </c>
    </row>
    <row r="3008" spans="1:4" x14ac:dyDescent="0.25">
      <c r="A3008" s="2">
        <v>40360</v>
      </c>
      <c r="B3008" s="1" t="s">
        <v>19</v>
      </c>
      <c r="C3008" s="1">
        <v>0</v>
      </c>
      <c r="D3008" s="1">
        <f>0.030533*(1000000)</f>
        <v>30533</v>
      </c>
    </row>
    <row r="3009" spans="1:4" x14ac:dyDescent="0.25">
      <c r="A3009" s="2">
        <v>40391</v>
      </c>
      <c r="B3009" s="1" t="s">
        <v>19</v>
      </c>
      <c r="C3009" s="1">
        <v>0</v>
      </c>
      <c r="D3009" s="1">
        <f>0.034481*(1000000)</f>
        <v>34481</v>
      </c>
    </row>
    <row r="3010" spans="1:4" x14ac:dyDescent="0.25">
      <c r="A3010" s="2">
        <v>40422</v>
      </c>
      <c r="B3010" s="1" t="s">
        <v>19</v>
      </c>
      <c r="C3010" s="1">
        <v>0</v>
      </c>
      <c r="D3010" s="1">
        <f>0.042878*(1000000)</f>
        <v>42878</v>
      </c>
    </row>
    <row r="3011" spans="1:4" x14ac:dyDescent="0.25">
      <c r="A3011" s="2">
        <v>40452</v>
      </c>
      <c r="B3011" s="1" t="s">
        <v>19</v>
      </c>
      <c r="C3011" s="1">
        <v>0</v>
      </c>
      <c r="D3011" s="1">
        <f>0.049889*(1000000)</f>
        <v>49889</v>
      </c>
    </row>
    <row r="3012" spans="1:4" x14ac:dyDescent="0.25">
      <c r="A3012" s="2">
        <v>40483</v>
      </c>
      <c r="B3012" s="1" t="s">
        <v>19</v>
      </c>
      <c r="C3012" s="1">
        <v>0</v>
      </c>
      <c r="D3012" s="1">
        <f>0.066481*(1000000)</f>
        <v>66481</v>
      </c>
    </row>
    <row r="3013" spans="1:4" x14ac:dyDescent="0.25">
      <c r="A3013" s="2">
        <v>40513</v>
      </c>
      <c r="B3013" s="1" t="s">
        <v>19</v>
      </c>
      <c r="C3013" s="1">
        <v>0</v>
      </c>
      <c r="D3013" s="1">
        <f>0.087446*(1000000)</f>
        <v>87446</v>
      </c>
    </row>
    <row r="3014" spans="1:4" x14ac:dyDescent="0.25">
      <c r="A3014" s="2">
        <v>40544</v>
      </c>
      <c r="B3014" s="1" t="s">
        <v>19</v>
      </c>
      <c r="C3014" s="1">
        <v>0</v>
      </c>
      <c r="D3014" s="1">
        <f>0.093118*(1000000)</f>
        <v>93118</v>
      </c>
    </row>
    <row r="3015" spans="1:4" x14ac:dyDescent="0.25">
      <c r="A3015" s="2">
        <v>40575</v>
      </c>
      <c r="B3015" s="1" t="s">
        <v>19</v>
      </c>
      <c r="C3015" s="1">
        <v>0</v>
      </c>
      <c r="D3015" s="1">
        <f>0.105157*(1000000)</f>
        <v>105157</v>
      </c>
    </row>
    <row r="3016" spans="1:4" x14ac:dyDescent="0.25">
      <c r="A3016" s="2">
        <v>40603</v>
      </c>
      <c r="B3016" s="1" t="s">
        <v>19</v>
      </c>
      <c r="C3016" s="1">
        <v>0</v>
      </c>
      <c r="D3016" s="1">
        <f>0.122052*(1000000)</f>
        <v>122052</v>
      </c>
    </row>
    <row r="3017" spans="1:4" x14ac:dyDescent="0.25">
      <c r="A3017" s="2">
        <v>40634</v>
      </c>
      <c r="B3017" s="1" t="s">
        <v>19</v>
      </c>
      <c r="C3017" s="1">
        <v>0</v>
      </c>
      <c r="D3017" s="1">
        <f>0.135821*(1000000)</f>
        <v>135821</v>
      </c>
    </row>
    <row r="3018" spans="1:4" x14ac:dyDescent="0.25">
      <c r="A3018" s="2">
        <v>40664</v>
      </c>
      <c r="B3018" s="1" t="s">
        <v>19</v>
      </c>
      <c r="C3018" s="1">
        <v>0</v>
      </c>
      <c r="D3018" s="1">
        <f>0.158936*(1000000)</f>
        <v>158936</v>
      </c>
    </row>
    <row r="3019" spans="1:4" x14ac:dyDescent="0.25">
      <c r="A3019" s="2">
        <v>40695</v>
      </c>
      <c r="B3019" s="1" t="s">
        <v>19</v>
      </c>
      <c r="C3019" s="1">
        <v>0</v>
      </c>
      <c r="D3019" s="1">
        <f>0.178154*(1000000)</f>
        <v>178154</v>
      </c>
    </row>
    <row r="3020" spans="1:4" x14ac:dyDescent="0.25">
      <c r="A3020" s="2">
        <v>40725</v>
      </c>
      <c r="B3020" s="1" t="s">
        <v>19</v>
      </c>
      <c r="C3020" s="1">
        <v>0</v>
      </c>
      <c r="D3020" s="1">
        <f>0.20949*(1000000)</f>
        <v>209490</v>
      </c>
    </row>
    <row r="3021" spans="1:4" x14ac:dyDescent="0.25">
      <c r="A3021" s="2">
        <v>40756</v>
      </c>
      <c r="B3021" s="1" t="s">
        <v>19</v>
      </c>
      <c r="C3021" s="1">
        <v>0</v>
      </c>
      <c r="D3021" s="1">
        <f>0.241689*(1000000)</f>
        <v>241689</v>
      </c>
    </row>
    <row r="3022" spans="1:4" x14ac:dyDescent="0.25">
      <c r="A3022" s="2">
        <v>40787</v>
      </c>
      <c r="B3022" s="1" t="s">
        <v>19</v>
      </c>
      <c r="C3022" s="1">
        <v>0</v>
      </c>
      <c r="D3022" s="1">
        <f>0.274057*(1000000)</f>
        <v>274057</v>
      </c>
    </row>
    <row r="3023" spans="1:4" x14ac:dyDescent="0.25">
      <c r="A3023" s="2">
        <v>40817</v>
      </c>
      <c r="B3023" s="1" t="s">
        <v>19</v>
      </c>
      <c r="C3023" s="1">
        <v>0</v>
      </c>
      <c r="D3023" s="1">
        <f>0.29853*(1000000)</f>
        <v>298530</v>
      </c>
    </row>
    <row r="3024" spans="1:4" x14ac:dyDescent="0.25">
      <c r="A3024" s="2">
        <v>40848</v>
      </c>
      <c r="B3024" s="1" t="s">
        <v>19</v>
      </c>
      <c r="C3024" s="1">
        <v>0</v>
      </c>
      <c r="D3024" s="1">
        <f>0.337221*(1000000)</f>
        <v>337221</v>
      </c>
    </row>
    <row r="3025" spans="1:4" x14ac:dyDescent="0.25">
      <c r="A3025" s="2">
        <v>40878</v>
      </c>
      <c r="B3025" s="1" t="s">
        <v>19</v>
      </c>
      <c r="C3025" s="1">
        <v>0</v>
      </c>
      <c r="D3025" s="1">
        <f>0.362688*(1000000)</f>
        <v>362688</v>
      </c>
    </row>
    <row r="3026" spans="1:4" x14ac:dyDescent="0.25">
      <c r="A3026" s="2">
        <v>40909</v>
      </c>
      <c r="B3026" s="1" t="s">
        <v>19</v>
      </c>
      <c r="C3026" s="1">
        <v>0</v>
      </c>
      <c r="D3026" s="1">
        <f>0.38921*(1000000)</f>
        <v>389210</v>
      </c>
    </row>
    <row r="3027" spans="1:4" x14ac:dyDescent="0.25">
      <c r="A3027" s="2">
        <v>40940</v>
      </c>
      <c r="B3027" s="1" t="s">
        <v>19</v>
      </c>
      <c r="C3027" s="1">
        <v>0</v>
      </c>
      <c r="D3027" s="1">
        <f>0.415176*(1000000)</f>
        <v>415176</v>
      </c>
    </row>
    <row r="3028" spans="1:4" x14ac:dyDescent="0.25">
      <c r="A3028" s="2">
        <v>40969</v>
      </c>
      <c r="B3028" s="1" t="s">
        <v>19</v>
      </c>
      <c r="C3028" s="1">
        <v>0</v>
      </c>
      <c r="D3028" s="1">
        <f>0.442482*(1000000)</f>
        <v>442482</v>
      </c>
    </row>
    <row r="3029" spans="1:4" x14ac:dyDescent="0.25">
      <c r="A3029" s="2">
        <v>41000</v>
      </c>
      <c r="B3029" s="1" t="s">
        <v>19</v>
      </c>
      <c r="C3029" s="1">
        <v>0</v>
      </c>
      <c r="D3029" s="1">
        <f>0.489103*(1000000)</f>
        <v>489103</v>
      </c>
    </row>
    <row r="3030" spans="1:4" x14ac:dyDescent="0.25">
      <c r="A3030" s="2">
        <v>41030</v>
      </c>
      <c r="B3030" s="1" t="s">
        <v>19</v>
      </c>
      <c r="C3030" s="1">
        <v>0</v>
      </c>
      <c r="D3030" s="1">
        <f>0.520974*(1000000)</f>
        <v>520974.00000000006</v>
      </c>
    </row>
    <row r="3031" spans="1:4" x14ac:dyDescent="0.25">
      <c r="A3031" s="2">
        <v>41061</v>
      </c>
      <c r="B3031" s="1" t="s">
        <v>19</v>
      </c>
      <c r="C3031" s="1">
        <v>0</v>
      </c>
      <c r="D3031" s="1">
        <f>0.54585*(1000000)</f>
        <v>545850</v>
      </c>
    </row>
    <row r="3032" spans="1:4" x14ac:dyDescent="0.25">
      <c r="A3032" s="2">
        <v>41091</v>
      </c>
      <c r="B3032" s="1" t="s">
        <v>19</v>
      </c>
      <c r="C3032" s="1">
        <v>0</v>
      </c>
      <c r="D3032" s="1">
        <f>0.582584*(1000000)</f>
        <v>582584</v>
      </c>
    </row>
    <row r="3033" spans="1:4" x14ac:dyDescent="0.25">
      <c r="A3033" s="2">
        <v>41122</v>
      </c>
      <c r="B3033" s="1" t="s">
        <v>19</v>
      </c>
      <c r="C3033" s="1">
        <v>0</v>
      </c>
      <c r="D3033" s="1">
        <f>0.624158*(1000000)</f>
        <v>624158</v>
      </c>
    </row>
    <row r="3034" spans="1:4" x14ac:dyDescent="0.25">
      <c r="A3034" s="2">
        <v>41153</v>
      </c>
      <c r="B3034" s="1" t="s">
        <v>19</v>
      </c>
      <c r="C3034" s="1">
        <v>0</v>
      </c>
      <c r="D3034" s="1">
        <f>0.6319*(1000000)</f>
        <v>631900</v>
      </c>
    </row>
    <row r="3035" spans="1:4" x14ac:dyDescent="0.25">
      <c r="A3035" s="2">
        <v>41183</v>
      </c>
      <c r="B3035" s="1" t="s">
        <v>19</v>
      </c>
      <c r="C3035" s="1">
        <v>0</v>
      </c>
      <c r="D3035" s="1">
        <f>0.674552*(1000000)</f>
        <v>674552</v>
      </c>
    </row>
    <row r="3036" spans="1:4" x14ac:dyDescent="0.25">
      <c r="A3036" s="2">
        <v>41214</v>
      </c>
      <c r="B3036" s="1" t="s">
        <v>19</v>
      </c>
      <c r="C3036" s="1">
        <v>0</v>
      </c>
      <c r="D3036" s="1">
        <f>0.705232*(1000000)</f>
        <v>705232</v>
      </c>
    </row>
    <row r="3037" spans="1:4" x14ac:dyDescent="0.25">
      <c r="A3037" s="2">
        <v>41244</v>
      </c>
      <c r="B3037" s="1" t="s">
        <v>19</v>
      </c>
      <c r="C3037" s="1">
        <v>0</v>
      </c>
      <c r="D3037" s="1">
        <f>0.739082*(1000000)</f>
        <v>739082</v>
      </c>
    </row>
    <row r="3038" spans="1:4" x14ac:dyDescent="0.25">
      <c r="A3038" s="2">
        <v>41275</v>
      </c>
      <c r="B3038" s="1" t="s">
        <v>19</v>
      </c>
      <c r="C3038" s="1">
        <v>0</v>
      </c>
      <c r="D3038" s="1">
        <f>0.776715*(1000000)</f>
        <v>776715</v>
      </c>
    </row>
    <row r="3039" spans="1:4" x14ac:dyDescent="0.25">
      <c r="A3039" s="2">
        <v>41306</v>
      </c>
      <c r="B3039" s="1" t="s">
        <v>19</v>
      </c>
      <c r="C3039" s="1">
        <v>0</v>
      </c>
      <c r="D3039" s="1">
        <f>0.825139*(1000000)</f>
        <v>825139</v>
      </c>
    </row>
    <row r="3040" spans="1:4" x14ac:dyDescent="0.25">
      <c r="A3040" s="2">
        <v>41334</v>
      </c>
      <c r="B3040" s="1" t="s">
        <v>19</v>
      </c>
      <c r="C3040" s="1">
        <v>0</v>
      </c>
      <c r="D3040" s="1">
        <f>0.862779*(1000000)</f>
        <v>862779</v>
      </c>
    </row>
    <row r="3041" spans="1:4" x14ac:dyDescent="0.25">
      <c r="A3041" s="2">
        <v>41365</v>
      </c>
      <c r="B3041" s="1" t="s">
        <v>19</v>
      </c>
      <c r="C3041" s="1">
        <v>0</v>
      </c>
      <c r="D3041" s="1">
        <f>0.874539*(1000000)</f>
        <v>874539</v>
      </c>
    </row>
    <row r="3042" spans="1:4" x14ac:dyDescent="0.25">
      <c r="A3042" s="2">
        <v>41395</v>
      </c>
      <c r="B3042" s="1" t="s">
        <v>19</v>
      </c>
      <c r="C3042" s="1">
        <v>0</v>
      </c>
      <c r="D3042" s="1">
        <f>0.929824*(1000000)</f>
        <v>929824</v>
      </c>
    </row>
    <row r="3043" spans="1:4" x14ac:dyDescent="0.25">
      <c r="A3043" s="2">
        <v>41426</v>
      </c>
      <c r="B3043" s="1" t="s">
        <v>19</v>
      </c>
      <c r="C3043" s="1">
        <v>0</v>
      </c>
      <c r="D3043" s="1">
        <f>0.979336*(1000000)</f>
        <v>979336</v>
      </c>
    </row>
    <row r="3044" spans="1:4" x14ac:dyDescent="0.25">
      <c r="A3044" s="2">
        <v>41456</v>
      </c>
      <c r="B3044" s="1" t="s">
        <v>19</v>
      </c>
      <c r="C3044" s="1">
        <v>0</v>
      </c>
      <c r="D3044" s="1">
        <f>1.008952*(1000000)</f>
        <v>1008952.0000000001</v>
      </c>
    </row>
    <row r="3045" spans="1:4" x14ac:dyDescent="0.25">
      <c r="A3045" s="2">
        <v>41487</v>
      </c>
      <c r="B3045" s="1" t="s">
        <v>19</v>
      </c>
      <c r="C3045" s="1">
        <v>0</v>
      </c>
      <c r="D3045" s="1">
        <f>1.024191*(1000000)</f>
        <v>1024191.0000000001</v>
      </c>
    </row>
    <row r="3046" spans="1:4" x14ac:dyDescent="0.25">
      <c r="A3046" s="2">
        <v>41518</v>
      </c>
      <c r="B3046" s="1" t="s">
        <v>19</v>
      </c>
      <c r="C3046" s="1">
        <v>0</v>
      </c>
      <c r="D3046" s="1">
        <f>1.050859*(1000000)</f>
        <v>1050859</v>
      </c>
    </row>
    <row r="3047" spans="1:4" x14ac:dyDescent="0.25">
      <c r="A3047" s="2">
        <v>41548</v>
      </c>
      <c r="B3047" s="1" t="s">
        <v>19</v>
      </c>
      <c r="C3047" s="1">
        <v>0</v>
      </c>
      <c r="D3047" s="1">
        <f>1.039813*(1000000)</f>
        <v>1039813.0000000001</v>
      </c>
    </row>
    <row r="3048" spans="1:4" x14ac:dyDescent="0.25">
      <c r="A3048" s="2">
        <v>41579</v>
      </c>
      <c r="B3048" s="1" t="s">
        <v>19</v>
      </c>
      <c r="C3048" s="1">
        <v>0</v>
      </c>
      <c r="D3048" s="1">
        <f>1.064672*(1000000)</f>
        <v>1064672</v>
      </c>
    </row>
    <row r="3049" spans="1:4" x14ac:dyDescent="0.25">
      <c r="A3049" s="2">
        <v>41609</v>
      </c>
      <c r="B3049" s="1" t="s">
        <v>19</v>
      </c>
      <c r="C3049" s="1">
        <v>0</v>
      </c>
      <c r="D3049" s="1">
        <f>1.12582*(1000000)</f>
        <v>1125820</v>
      </c>
    </row>
    <row r="3050" spans="1:4" x14ac:dyDescent="0.25">
      <c r="A3050" s="2">
        <v>41640</v>
      </c>
      <c r="B3050" s="1" t="s">
        <v>19</v>
      </c>
      <c r="C3050" s="1">
        <v>0</v>
      </c>
      <c r="D3050" s="1">
        <f>1.15916*(1000000)</f>
        <v>1159160</v>
      </c>
    </row>
    <row r="3051" spans="1:4" x14ac:dyDescent="0.25">
      <c r="A3051" s="2">
        <v>41671</v>
      </c>
      <c r="B3051" s="1" t="s">
        <v>19</v>
      </c>
      <c r="C3051" s="1">
        <v>0</v>
      </c>
      <c r="D3051" s="1">
        <f>1.210506*(1000000)</f>
        <v>1210506</v>
      </c>
    </row>
    <row r="3052" spans="1:4" x14ac:dyDescent="0.25">
      <c r="A3052" s="2">
        <v>41699</v>
      </c>
      <c r="B3052" s="1" t="s">
        <v>19</v>
      </c>
      <c r="C3052" s="1">
        <v>0</v>
      </c>
      <c r="D3052" s="1">
        <f>1.22783*(1000000)</f>
        <v>1227830</v>
      </c>
    </row>
    <row r="3053" spans="1:4" x14ac:dyDescent="0.25">
      <c r="A3053" s="2">
        <v>41730</v>
      </c>
      <c r="B3053" s="1" t="s">
        <v>19</v>
      </c>
      <c r="C3053" s="1">
        <v>0</v>
      </c>
      <c r="D3053" s="1">
        <f>1.298755*(1000000)</f>
        <v>1298755</v>
      </c>
    </row>
    <row r="3054" spans="1:4" x14ac:dyDescent="0.25">
      <c r="A3054" s="2">
        <v>41760</v>
      </c>
      <c r="B3054" s="1" t="s">
        <v>19</v>
      </c>
      <c r="C3054" s="1">
        <v>0</v>
      </c>
      <c r="D3054" s="1">
        <f>1.304857*(1000000)</f>
        <v>1304857</v>
      </c>
    </row>
    <row r="3055" spans="1:4" x14ac:dyDescent="0.25">
      <c r="A3055" s="2">
        <v>41791</v>
      </c>
      <c r="B3055" s="1" t="s">
        <v>19</v>
      </c>
      <c r="C3055" s="1">
        <v>0</v>
      </c>
      <c r="D3055" s="1">
        <f>1.366182*(1000000)</f>
        <v>1366182</v>
      </c>
    </row>
    <row r="3056" spans="1:4" x14ac:dyDescent="0.25">
      <c r="A3056" s="2">
        <v>41821</v>
      </c>
      <c r="B3056" s="1" t="s">
        <v>19</v>
      </c>
      <c r="C3056" s="1">
        <v>0</v>
      </c>
      <c r="D3056" s="1">
        <f>1.385956*(1000000)</f>
        <v>1385956</v>
      </c>
    </row>
    <row r="3057" spans="1:4" x14ac:dyDescent="0.25">
      <c r="A3057" s="2">
        <v>41852</v>
      </c>
      <c r="B3057" s="1" t="s">
        <v>19</v>
      </c>
      <c r="C3057" s="1">
        <v>0</v>
      </c>
      <c r="D3057" s="1">
        <f>1.407169*(1000000)</f>
        <v>1407169</v>
      </c>
    </row>
    <row r="3058" spans="1:4" x14ac:dyDescent="0.25">
      <c r="A3058" s="2">
        <v>41883</v>
      </c>
      <c r="B3058" s="1" t="s">
        <v>19</v>
      </c>
      <c r="C3058" s="1">
        <v>0</v>
      </c>
      <c r="D3058" s="1">
        <f>1.399237*(1000000)</f>
        <v>1399237</v>
      </c>
    </row>
    <row r="3059" spans="1:4" x14ac:dyDescent="0.25">
      <c r="A3059" s="2">
        <v>41913</v>
      </c>
      <c r="B3059" s="1" t="s">
        <v>19</v>
      </c>
      <c r="C3059" s="1">
        <v>0</v>
      </c>
      <c r="D3059" s="1">
        <f>1.460737*(1000000)</f>
        <v>1460737</v>
      </c>
    </row>
    <row r="3060" spans="1:4" x14ac:dyDescent="0.25">
      <c r="A3060" s="2">
        <v>41944</v>
      </c>
      <c r="B3060" s="1" t="s">
        <v>19</v>
      </c>
      <c r="C3060" s="1">
        <v>0</v>
      </c>
      <c r="D3060" s="1">
        <f>1.489193*(1000000)</f>
        <v>1489193</v>
      </c>
    </row>
    <row r="3061" spans="1:4" x14ac:dyDescent="0.25">
      <c r="A3061" s="2">
        <v>41974</v>
      </c>
      <c r="B3061" s="1" t="s">
        <v>19</v>
      </c>
      <c r="C3061" s="1">
        <v>0</v>
      </c>
      <c r="D3061" s="1">
        <f>1.524482*(1000000)</f>
        <v>1524482</v>
      </c>
    </row>
    <row r="3062" spans="1:4" x14ac:dyDescent="0.25">
      <c r="A3062" s="2">
        <v>36526</v>
      </c>
      <c r="B3062" s="1" t="s">
        <v>20</v>
      </c>
      <c r="C3062" s="1">
        <v>0</v>
      </c>
      <c r="D3062" s="1">
        <f>0.021672*(1000000)</f>
        <v>21672</v>
      </c>
    </row>
    <row r="3063" spans="1:4" x14ac:dyDescent="0.25">
      <c r="A3063" s="2">
        <v>36557</v>
      </c>
      <c r="B3063" s="1" t="s">
        <v>20</v>
      </c>
      <c r="C3063" s="1">
        <v>0</v>
      </c>
      <c r="D3063" s="1">
        <f>0.020328*(1000000)</f>
        <v>20328</v>
      </c>
    </row>
    <row r="3064" spans="1:4" x14ac:dyDescent="0.25">
      <c r="A3064" s="2">
        <v>36586</v>
      </c>
      <c r="B3064" s="1" t="s">
        <v>20</v>
      </c>
      <c r="C3064" s="1">
        <v>0</v>
      </c>
      <c r="D3064" s="1">
        <f>0.019836*(1000000)</f>
        <v>19836</v>
      </c>
    </row>
    <row r="3065" spans="1:4" x14ac:dyDescent="0.25">
      <c r="A3065" s="2">
        <v>36617</v>
      </c>
      <c r="B3065" s="1" t="s">
        <v>20</v>
      </c>
      <c r="C3065" s="1">
        <v>0</v>
      </c>
      <c r="D3065" s="1">
        <f>0.020105*(1000000)</f>
        <v>20105</v>
      </c>
    </row>
    <row r="3066" spans="1:4" x14ac:dyDescent="0.25">
      <c r="A3066" s="2">
        <v>36647</v>
      </c>
      <c r="B3066" s="1" t="s">
        <v>20</v>
      </c>
      <c r="C3066" s="1">
        <v>0</v>
      </c>
      <c r="D3066" s="1">
        <f>0.019256*(1000000)</f>
        <v>19256</v>
      </c>
    </row>
    <row r="3067" spans="1:4" x14ac:dyDescent="0.25">
      <c r="A3067" s="2">
        <v>36678</v>
      </c>
      <c r="B3067" s="1" t="s">
        <v>20</v>
      </c>
      <c r="C3067" s="1">
        <v>0</v>
      </c>
      <c r="D3067" s="1">
        <f>0.018929*(1000000)</f>
        <v>18929</v>
      </c>
    </row>
    <row r="3068" spans="1:4" x14ac:dyDescent="0.25">
      <c r="A3068" s="2">
        <v>36708</v>
      </c>
      <c r="B3068" s="1" t="s">
        <v>20</v>
      </c>
      <c r="C3068" s="1">
        <v>0</v>
      </c>
      <c r="D3068" s="1">
        <f>0.018677*(1000000)</f>
        <v>18677</v>
      </c>
    </row>
    <row r="3069" spans="1:4" x14ac:dyDescent="0.25">
      <c r="A3069" s="2">
        <v>36739</v>
      </c>
      <c r="B3069" s="1" t="s">
        <v>20</v>
      </c>
      <c r="C3069" s="1">
        <v>0</v>
      </c>
      <c r="D3069" s="1">
        <f>0.018315*(1000000)</f>
        <v>18315</v>
      </c>
    </row>
    <row r="3070" spans="1:4" x14ac:dyDescent="0.25">
      <c r="A3070" s="2">
        <v>36770</v>
      </c>
      <c r="B3070" s="1" t="s">
        <v>20</v>
      </c>
      <c r="C3070" s="1">
        <v>0</v>
      </c>
      <c r="D3070" s="1">
        <f>0.018576*(1000000)</f>
        <v>18576</v>
      </c>
    </row>
    <row r="3071" spans="1:4" x14ac:dyDescent="0.25">
      <c r="A3071" s="2">
        <v>36800</v>
      </c>
      <c r="B3071" s="1" t="s">
        <v>20</v>
      </c>
      <c r="C3071" s="1">
        <v>0</v>
      </c>
      <c r="D3071" s="1">
        <f>0.018345*(1000000)</f>
        <v>18345</v>
      </c>
    </row>
    <row r="3072" spans="1:4" x14ac:dyDescent="0.25">
      <c r="A3072" s="2">
        <v>36831</v>
      </c>
      <c r="B3072" s="1" t="s">
        <v>20</v>
      </c>
      <c r="C3072" s="1">
        <v>0</v>
      </c>
      <c r="D3072" s="1">
        <f>0.018461*(1000000)</f>
        <v>18461</v>
      </c>
    </row>
    <row r="3073" spans="1:4" x14ac:dyDescent="0.25">
      <c r="A3073" s="2">
        <v>36861</v>
      </c>
      <c r="B3073" s="1" t="s">
        <v>20</v>
      </c>
      <c r="C3073" s="1">
        <v>0</v>
      </c>
      <c r="D3073" s="1">
        <f>0.017734*(1000000)</f>
        <v>17734</v>
      </c>
    </row>
    <row r="3074" spans="1:4" x14ac:dyDescent="0.25">
      <c r="A3074" s="2">
        <v>36892</v>
      </c>
      <c r="B3074" s="1" t="s">
        <v>20</v>
      </c>
      <c r="C3074" s="1">
        <v>0</v>
      </c>
      <c r="D3074" s="1">
        <f>0.017391*(1000000)</f>
        <v>17391</v>
      </c>
    </row>
    <row r="3075" spans="1:4" x14ac:dyDescent="0.25">
      <c r="A3075" s="2">
        <v>36923</v>
      </c>
      <c r="B3075" s="1" t="s">
        <v>20</v>
      </c>
      <c r="C3075" s="1">
        <v>0</v>
      </c>
      <c r="D3075" s="1">
        <f>0.0171*(1000000)</f>
        <v>17100</v>
      </c>
    </row>
    <row r="3076" spans="1:4" x14ac:dyDescent="0.25">
      <c r="A3076" s="2">
        <v>36951</v>
      </c>
      <c r="B3076" s="1" t="s">
        <v>20</v>
      </c>
      <c r="C3076" s="1">
        <v>0</v>
      </c>
      <c r="D3076" s="1">
        <f>0.017474*(1000000)</f>
        <v>17474</v>
      </c>
    </row>
    <row r="3077" spans="1:4" x14ac:dyDescent="0.25">
      <c r="A3077" s="2">
        <v>36982</v>
      </c>
      <c r="B3077" s="1" t="s">
        <v>20</v>
      </c>
      <c r="C3077" s="1">
        <v>0</v>
      </c>
      <c r="D3077" s="1">
        <f>0.017111*(1000000)</f>
        <v>17111</v>
      </c>
    </row>
    <row r="3078" spans="1:4" x14ac:dyDescent="0.25">
      <c r="A3078" s="2">
        <v>37012</v>
      </c>
      <c r="B3078" s="1" t="s">
        <v>20</v>
      </c>
      <c r="C3078" s="1">
        <v>0</v>
      </c>
      <c r="D3078" s="1">
        <f>0.017106*(1000000)</f>
        <v>17106</v>
      </c>
    </row>
    <row r="3079" spans="1:4" x14ac:dyDescent="0.25">
      <c r="A3079" s="2">
        <v>37043</v>
      </c>
      <c r="B3079" s="1" t="s">
        <v>20</v>
      </c>
      <c r="C3079" s="1">
        <v>0</v>
      </c>
      <c r="D3079" s="1">
        <f>0.016571*(1000000)</f>
        <v>16571</v>
      </c>
    </row>
    <row r="3080" spans="1:4" x14ac:dyDescent="0.25">
      <c r="A3080" s="2">
        <v>37073</v>
      </c>
      <c r="B3080" s="1" t="s">
        <v>20</v>
      </c>
      <c r="C3080" s="1">
        <v>0</v>
      </c>
      <c r="D3080" s="1">
        <f>0.016128*(1000000)</f>
        <v>16128</v>
      </c>
    </row>
    <row r="3081" spans="1:4" x14ac:dyDescent="0.25">
      <c r="A3081" s="2">
        <v>37104</v>
      </c>
      <c r="B3081" s="1" t="s">
        <v>20</v>
      </c>
      <c r="C3081" s="1">
        <v>0</v>
      </c>
      <c r="D3081" s="1">
        <f>0.016697*(1000000)</f>
        <v>16697</v>
      </c>
    </row>
    <row r="3082" spans="1:4" x14ac:dyDescent="0.25">
      <c r="A3082" s="2">
        <v>37135</v>
      </c>
      <c r="B3082" s="1" t="s">
        <v>20</v>
      </c>
      <c r="C3082" s="1">
        <v>0</v>
      </c>
      <c r="D3082" s="1">
        <f>0.016793*(1000000)</f>
        <v>16793</v>
      </c>
    </row>
    <row r="3083" spans="1:4" x14ac:dyDescent="0.25">
      <c r="A3083" s="2">
        <v>37165</v>
      </c>
      <c r="B3083" s="1" t="s">
        <v>20</v>
      </c>
      <c r="C3083" s="1">
        <v>0</v>
      </c>
      <c r="D3083" s="1">
        <f>0.016428*(1000000)</f>
        <v>16428</v>
      </c>
    </row>
    <row r="3084" spans="1:4" x14ac:dyDescent="0.25">
      <c r="A3084" s="2">
        <v>37196</v>
      </c>
      <c r="B3084" s="1" t="s">
        <v>20</v>
      </c>
      <c r="C3084" s="1">
        <v>0</v>
      </c>
      <c r="D3084" s="1">
        <f>0.016749*(1000000)</f>
        <v>16749</v>
      </c>
    </row>
    <row r="3085" spans="1:4" x14ac:dyDescent="0.25">
      <c r="A3085" s="2">
        <v>37226</v>
      </c>
      <c r="B3085" s="1" t="s">
        <v>20</v>
      </c>
      <c r="C3085" s="1">
        <v>0</v>
      </c>
      <c r="D3085" s="1">
        <f>0.016783*(1000000)</f>
        <v>16783</v>
      </c>
    </row>
    <row r="3086" spans="1:4" x14ac:dyDescent="0.25">
      <c r="A3086" s="2">
        <v>37257</v>
      </c>
      <c r="B3086" s="1" t="s">
        <v>20</v>
      </c>
      <c r="C3086" s="1">
        <v>0</v>
      </c>
      <c r="D3086" s="1">
        <f>0.016393*(1000000)</f>
        <v>16393</v>
      </c>
    </row>
    <row r="3087" spans="1:4" x14ac:dyDescent="0.25">
      <c r="A3087" s="2">
        <v>37288</v>
      </c>
      <c r="B3087" s="1" t="s">
        <v>20</v>
      </c>
      <c r="C3087" s="1">
        <v>0</v>
      </c>
      <c r="D3087" s="1">
        <f>0.016414*(1000000)</f>
        <v>16414</v>
      </c>
    </row>
    <row r="3088" spans="1:4" x14ac:dyDescent="0.25">
      <c r="A3088" s="2">
        <v>37316</v>
      </c>
      <c r="B3088" s="1" t="s">
        <v>20</v>
      </c>
      <c r="C3088" s="1">
        <v>0</v>
      </c>
      <c r="D3088" s="1">
        <f>0.016195*(1000000)</f>
        <v>16195.000000000002</v>
      </c>
    </row>
    <row r="3089" spans="1:4" x14ac:dyDescent="0.25">
      <c r="A3089" s="2">
        <v>37347</v>
      </c>
      <c r="B3089" s="1" t="s">
        <v>20</v>
      </c>
      <c r="C3089" s="1">
        <v>0</v>
      </c>
      <c r="D3089" s="1">
        <f>0.016265*(1000000)</f>
        <v>16265.000000000002</v>
      </c>
    </row>
    <row r="3090" spans="1:4" x14ac:dyDescent="0.25">
      <c r="A3090" s="2">
        <v>37377</v>
      </c>
      <c r="B3090" s="1" t="s">
        <v>20</v>
      </c>
      <c r="C3090" s="1">
        <v>0</v>
      </c>
      <c r="D3090" s="1">
        <f>0.016433*(1000000)</f>
        <v>16433</v>
      </c>
    </row>
    <row r="3091" spans="1:4" x14ac:dyDescent="0.25">
      <c r="A3091" s="2">
        <v>37408</v>
      </c>
      <c r="B3091" s="1" t="s">
        <v>20</v>
      </c>
      <c r="C3091" s="1">
        <v>0</v>
      </c>
      <c r="D3091" s="1">
        <f>0.016217*(1000000)</f>
        <v>16216.999999999998</v>
      </c>
    </row>
    <row r="3092" spans="1:4" x14ac:dyDescent="0.25">
      <c r="A3092" s="2">
        <v>37438</v>
      </c>
      <c r="B3092" s="1" t="s">
        <v>20</v>
      </c>
      <c r="C3092" s="1">
        <v>0</v>
      </c>
      <c r="D3092" s="1">
        <f>0.016173*(1000000)</f>
        <v>16173</v>
      </c>
    </row>
    <row r="3093" spans="1:4" x14ac:dyDescent="0.25">
      <c r="A3093" s="2">
        <v>37469</v>
      </c>
      <c r="B3093" s="1" t="s">
        <v>20</v>
      </c>
      <c r="C3093" s="1">
        <v>0</v>
      </c>
      <c r="D3093" s="1">
        <f>0.016094*(1000000)</f>
        <v>16094</v>
      </c>
    </row>
    <row r="3094" spans="1:4" x14ac:dyDescent="0.25">
      <c r="A3094" s="2">
        <v>37500</v>
      </c>
      <c r="B3094" s="1" t="s">
        <v>20</v>
      </c>
      <c r="C3094" s="1">
        <v>0</v>
      </c>
      <c r="D3094" s="1">
        <f>0.016551*(1000000)</f>
        <v>16551</v>
      </c>
    </row>
    <row r="3095" spans="1:4" x14ac:dyDescent="0.25">
      <c r="A3095" s="2">
        <v>37530</v>
      </c>
      <c r="B3095" s="1" t="s">
        <v>20</v>
      </c>
      <c r="C3095" s="1">
        <v>0</v>
      </c>
      <c r="D3095" s="1">
        <f>0.017162*(1000000)</f>
        <v>17162</v>
      </c>
    </row>
    <row r="3096" spans="1:4" x14ac:dyDescent="0.25">
      <c r="A3096" s="2">
        <v>37561</v>
      </c>
      <c r="B3096" s="1" t="s">
        <v>20</v>
      </c>
      <c r="C3096" s="1">
        <v>0</v>
      </c>
      <c r="D3096" s="1">
        <f>0.017697*(1000000)</f>
        <v>17697</v>
      </c>
    </row>
    <row r="3097" spans="1:4" x14ac:dyDescent="0.25">
      <c r="A3097" s="2">
        <v>37591</v>
      </c>
      <c r="B3097" s="1" t="s">
        <v>20</v>
      </c>
      <c r="C3097" s="1">
        <v>0</v>
      </c>
      <c r="D3097" s="1">
        <f>0.017744*(1000000)</f>
        <v>17744</v>
      </c>
    </row>
    <row r="3098" spans="1:4" x14ac:dyDescent="0.25">
      <c r="A3098" s="2">
        <v>37622</v>
      </c>
      <c r="B3098" s="1" t="s">
        <v>20</v>
      </c>
      <c r="C3098" s="1">
        <v>0</v>
      </c>
      <c r="D3098" s="1">
        <f>0.018174*(1000000)</f>
        <v>18174</v>
      </c>
    </row>
    <row r="3099" spans="1:4" x14ac:dyDescent="0.25">
      <c r="A3099" s="2">
        <v>37653</v>
      </c>
      <c r="B3099" s="1" t="s">
        <v>20</v>
      </c>
      <c r="C3099" s="1">
        <v>0</v>
      </c>
      <c r="D3099" s="1">
        <f>0.018863*(1000000)</f>
        <v>18863</v>
      </c>
    </row>
    <row r="3100" spans="1:4" x14ac:dyDescent="0.25">
      <c r="A3100" s="2">
        <v>37681</v>
      </c>
      <c r="B3100" s="1" t="s">
        <v>20</v>
      </c>
      <c r="C3100" s="1">
        <v>0</v>
      </c>
      <c r="D3100" s="1">
        <f>0.018406*(1000000)</f>
        <v>18406</v>
      </c>
    </row>
    <row r="3101" spans="1:4" x14ac:dyDescent="0.25">
      <c r="A3101" s="2">
        <v>37712</v>
      </c>
      <c r="B3101" s="1" t="s">
        <v>20</v>
      </c>
      <c r="C3101" s="1">
        <v>0</v>
      </c>
      <c r="D3101" s="1">
        <f>0.018493*(1000000)</f>
        <v>18493</v>
      </c>
    </row>
    <row r="3102" spans="1:4" x14ac:dyDescent="0.25">
      <c r="A3102" s="2">
        <v>37742</v>
      </c>
      <c r="B3102" s="1" t="s">
        <v>20</v>
      </c>
      <c r="C3102" s="1">
        <v>0</v>
      </c>
      <c r="D3102" s="1">
        <f>0.018383*(1000000)</f>
        <v>18383</v>
      </c>
    </row>
    <row r="3103" spans="1:4" x14ac:dyDescent="0.25">
      <c r="A3103" s="2">
        <v>37773</v>
      </c>
      <c r="B3103" s="1" t="s">
        <v>20</v>
      </c>
      <c r="C3103" s="1">
        <v>0</v>
      </c>
      <c r="D3103" s="1">
        <f>0.018367*(1000000)</f>
        <v>18367</v>
      </c>
    </row>
    <row r="3104" spans="1:4" x14ac:dyDescent="0.25">
      <c r="A3104" s="2">
        <v>37803</v>
      </c>
      <c r="B3104" s="1" t="s">
        <v>20</v>
      </c>
      <c r="C3104" s="1">
        <v>0</v>
      </c>
      <c r="D3104" s="1">
        <f>0.019497*(1000000)</f>
        <v>19497</v>
      </c>
    </row>
    <row r="3105" spans="1:4" x14ac:dyDescent="0.25">
      <c r="A3105" s="2">
        <v>37834</v>
      </c>
      <c r="B3105" s="1" t="s">
        <v>20</v>
      </c>
      <c r="C3105" s="1">
        <v>0</v>
      </c>
      <c r="D3105" s="1">
        <f>0.019631*(1000000)</f>
        <v>19631</v>
      </c>
    </row>
    <row r="3106" spans="1:4" x14ac:dyDescent="0.25">
      <c r="A3106" s="2">
        <v>37865</v>
      </c>
      <c r="B3106" s="1" t="s">
        <v>20</v>
      </c>
      <c r="C3106" s="1">
        <v>0</v>
      </c>
      <c r="D3106" s="1">
        <f>0.02107*(1000000)</f>
        <v>21070</v>
      </c>
    </row>
    <row r="3107" spans="1:4" x14ac:dyDescent="0.25">
      <c r="A3107" s="2">
        <v>37895</v>
      </c>
      <c r="B3107" s="1" t="s">
        <v>20</v>
      </c>
      <c r="C3107" s="1">
        <v>0</v>
      </c>
      <c r="D3107" s="1">
        <f>0.021839*(1000000)</f>
        <v>21839</v>
      </c>
    </row>
    <row r="3108" spans="1:4" x14ac:dyDescent="0.25">
      <c r="A3108" s="2">
        <v>37926</v>
      </c>
      <c r="B3108" s="1" t="s">
        <v>20</v>
      </c>
      <c r="C3108" s="1">
        <v>0</v>
      </c>
      <c r="D3108" s="1">
        <f>0.023546*(1000000)</f>
        <v>23546</v>
      </c>
    </row>
    <row r="3109" spans="1:4" x14ac:dyDescent="0.25">
      <c r="A3109" s="2">
        <v>37956</v>
      </c>
      <c r="B3109" s="1" t="s">
        <v>20</v>
      </c>
      <c r="C3109" s="1">
        <v>0</v>
      </c>
      <c r="D3109" s="1">
        <f>0.023887*(1000000)</f>
        <v>23887</v>
      </c>
    </row>
    <row r="3110" spans="1:4" x14ac:dyDescent="0.25">
      <c r="A3110" s="2">
        <v>37987</v>
      </c>
      <c r="B3110" s="1" t="s">
        <v>20</v>
      </c>
      <c r="C3110" s="1">
        <v>0</v>
      </c>
      <c r="D3110" s="1">
        <f>0.02489*(1000000)</f>
        <v>24890</v>
      </c>
    </row>
    <row r="3111" spans="1:4" x14ac:dyDescent="0.25">
      <c r="A3111" s="2">
        <v>38018</v>
      </c>
      <c r="B3111" s="1" t="s">
        <v>20</v>
      </c>
      <c r="C3111" s="1">
        <v>0</v>
      </c>
      <c r="D3111" s="1">
        <f>0.024789*(1000000)</f>
        <v>24789</v>
      </c>
    </row>
    <row r="3112" spans="1:4" x14ac:dyDescent="0.25">
      <c r="A3112" s="2">
        <v>38047</v>
      </c>
      <c r="B3112" s="1" t="s">
        <v>20</v>
      </c>
      <c r="C3112" s="1">
        <v>0</v>
      </c>
      <c r="D3112" s="1">
        <f>0.027271*(1000000)</f>
        <v>27271</v>
      </c>
    </row>
    <row r="3113" spans="1:4" x14ac:dyDescent="0.25">
      <c r="A3113" s="2">
        <v>38078</v>
      </c>
      <c r="B3113" s="1" t="s">
        <v>20</v>
      </c>
      <c r="C3113" s="1">
        <v>0</v>
      </c>
      <c r="D3113" s="1">
        <f>0.027177*(1000000)</f>
        <v>27177</v>
      </c>
    </row>
    <row r="3114" spans="1:4" x14ac:dyDescent="0.25">
      <c r="A3114" s="2">
        <v>38108</v>
      </c>
      <c r="B3114" s="1" t="s">
        <v>20</v>
      </c>
      <c r="C3114" s="1">
        <v>0</v>
      </c>
      <c r="D3114" s="1">
        <f>0.029004*(1000000)</f>
        <v>29004</v>
      </c>
    </row>
    <row r="3115" spans="1:4" x14ac:dyDescent="0.25">
      <c r="A3115" s="2">
        <v>38139</v>
      </c>
      <c r="B3115" s="1" t="s">
        <v>20</v>
      </c>
      <c r="C3115" s="1">
        <v>0</v>
      </c>
      <c r="D3115" s="1">
        <f>0.030875*(1000000)</f>
        <v>30875</v>
      </c>
    </row>
    <row r="3116" spans="1:4" x14ac:dyDescent="0.25">
      <c r="A3116" s="2">
        <v>38169</v>
      </c>
      <c r="B3116" s="1" t="s">
        <v>20</v>
      </c>
      <c r="C3116" s="1">
        <v>0</v>
      </c>
      <c r="D3116" s="1">
        <f>0.031138*(1000000)</f>
        <v>31138</v>
      </c>
    </row>
    <row r="3117" spans="1:4" x14ac:dyDescent="0.25">
      <c r="A3117" s="2">
        <v>38200</v>
      </c>
      <c r="B3117" s="1" t="s">
        <v>20</v>
      </c>
      <c r="C3117" s="1">
        <v>0</v>
      </c>
      <c r="D3117" s="1">
        <f>0.031952*(1000000)</f>
        <v>31952</v>
      </c>
    </row>
    <row r="3118" spans="1:4" x14ac:dyDescent="0.25">
      <c r="A3118" s="2">
        <v>38231</v>
      </c>
      <c r="B3118" s="1" t="s">
        <v>20</v>
      </c>
      <c r="C3118" s="1">
        <v>0</v>
      </c>
      <c r="D3118" s="1">
        <f>0.03526*(1000000)</f>
        <v>35260</v>
      </c>
    </row>
    <row r="3119" spans="1:4" x14ac:dyDescent="0.25">
      <c r="A3119" s="2">
        <v>38261</v>
      </c>
      <c r="B3119" s="1" t="s">
        <v>20</v>
      </c>
      <c r="C3119" s="1">
        <v>0</v>
      </c>
      <c r="D3119" s="1">
        <f>0.036557*(1000000)</f>
        <v>36557</v>
      </c>
    </row>
    <row r="3120" spans="1:4" x14ac:dyDescent="0.25">
      <c r="A3120" s="2">
        <v>38292</v>
      </c>
      <c r="B3120" s="1" t="s">
        <v>20</v>
      </c>
      <c r="C3120" s="1">
        <v>0</v>
      </c>
      <c r="D3120" s="1">
        <f>0.038745*(1000000)</f>
        <v>38745</v>
      </c>
    </row>
    <row r="3121" spans="1:4" x14ac:dyDescent="0.25">
      <c r="A3121" s="2">
        <v>38322</v>
      </c>
      <c r="B3121" s="1" t="s">
        <v>20</v>
      </c>
      <c r="C3121" s="1">
        <v>0</v>
      </c>
      <c r="D3121" s="1">
        <f>0.039478*(1000000)</f>
        <v>39478</v>
      </c>
    </row>
    <row r="3122" spans="1:4" x14ac:dyDescent="0.25">
      <c r="A3122" s="2">
        <v>38353</v>
      </c>
      <c r="B3122" s="1" t="s">
        <v>20</v>
      </c>
      <c r="C3122" s="1">
        <v>0</v>
      </c>
      <c r="D3122" s="1">
        <f>0.040956*(1000000)</f>
        <v>40956</v>
      </c>
    </row>
    <row r="3123" spans="1:4" x14ac:dyDescent="0.25">
      <c r="A3123" s="2">
        <v>38384</v>
      </c>
      <c r="B3123" s="1" t="s">
        <v>20</v>
      </c>
      <c r="C3123" s="1">
        <v>0</v>
      </c>
      <c r="D3123" s="1">
        <f>0.0472*(1000000)</f>
        <v>47200</v>
      </c>
    </row>
    <row r="3124" spans="1:4" x14ac:dyDescent="0.25">
      <c r="A3124" s="2">
        <v>38412</v>
      </c>
      <c r="B3124" s="1" t="s">
        <v>20</v>
      </c>
      <c r="C3124" s="1">
        <v>0</v>
      </c>
      <c r="D3124" s="1">
        <f>0.048786*(1000000)</f>
        <v>48786</v>
      </c>
    </row>
    <row r="3125" spans="1:4" x14ac:dyDescent="0.25">
      <c r="A3125" s="2">
        <v>38443</v>
      </c>
      <c r="B3125" s="1" t="s">
        <v>20</v>
      </c>
      <c r="C3125" s="1">
        <v>0</v>
      </c>
      <c r="D3125" s="1">
        <f>0.051663*(1000000)</f>
        <v>51663</v>
      </c>
    </row>
    <row r="3126" spans="1:4" x14ac:dyDescent="0.25">
      <c r="A3126" s="2">
        <v>38473</v>
      </c>
      <c r="B3126" s="1" t="s">
        <v>20</v>
      </c>
      <c r="C3126" s="1">
        <v>0</v>
      </c>
      <c r="D3126" s="1">
        <f>0.05283*(1000000)</f>
        <v>52830</v>
      </c>
    </row>
    <row r="3127" spans="1:4" x14ac:dyDescent="0.25">
      <c r="A3127" s="2">
        <v>38504</v>
      </c>
      <c r="B3127" s="1" t="s">
        <v>20</v>
      </c>
      <c r="C3127" s="1">
        <v>0</v>
      </c>
      <c r="D3127" s="1">
        <f>0.053061*(1000000)</f>
        <v>53061</v>
      </c>
    </row>
    <row r="3128" spans="1:4" x14ac:dyDescent="0.25">
      <c r="A3128" s="2">
        <v>38534</v>
      </c>
      <c r="B3128" s="1" t="s">
        <v>20</v>
      </c>
      <c r="C3128" s="1">
        <v>0</v>
      </c>
      <c r="D3128" s="1">
        <f>0.051902*(1000000)</f>
        <v>51902</v>
      </c>
    </row>
    <row r="3129" spans="1:4" x14ac:dyDescent="0.25">
      <c r="A3129" s="2">
        <v>38565</v>
      </c>
      <c r="B3129" s="1" t="s">
        <v>20</v>
      </c>
      <c r="C3129" s="1">
        <v>0</v>
      </c>
      <c r="D3129" s="1">
        <f>0.055389*(1000000)</f>
        <v>55389</v>
      </c>
    </row>
    <row r="3130" spans="1:4" x14ac:dyDescent="0.25">
      <c r="A3130" s="2">
        <v>38596</v>
      </c>
      <c r="B3130" s="1" t="s">
        <v>20</v>
      </c>
      <c r="C3130" s="1">
        <v>0</v>
      </c>
      <c r="D3130" s="1">
        <f>0.057619*(1000000)</f>
        <v>57619</v>
      </c>
    </row>
    <row r="3131" spans="1:4" x14ac:dyDescent="0.25">
      <c r="A3131" s="2">
        <v>38626</v>
      </c>
      <c r="B3131" s="1" t="s">
        <v>20</v>
      </c>
      <c r="C3131" s="1">
        <v>0</v>
      </c>
      <c r="D3131" s="1">
        <f>0.058739*(1000000)</f>
        <v>58739</v>
      </c>
    </row>
    <row r="3132" spans="1:4" x14ac:dyDescent="0.25">
      <c r="A3132" s="2">
        <v>38657</v>
      </c>
      <c r="B3132" s="1" t="s">
        <v>20</v>
      </c>
      <c r="C3132" s="1">
        <v>0</v>
      </c>
      <c r="D3132" s="1">
        <f>0.060198*(1000000)</f>
        <v>60198</v>
      </c>
    </row>
    <row r="3133" spans="1:4" x14ac:dyDescent="0.25">
      <c r="A3133" s="2">
        <v>38687</v>
      </c>
      <c r="B3133" s="1" t="s">
        <v>20</v>
      </c>
      <c r="C3133" s="1">
        <v>0</v>
      </c>
      <c r="D3133" s="1">
        <f>0.059938*(1000000)</f>
        <v>59938</v>
      </c>
    </row>
    <row r="3134" spans="1:4" x14ac:dyDescent="0.25">
      <c r="A3134" s="2">
        <v>38718</v>
      </c>
      <c r="B3134" s="1" t="s">
        <v>20</v>
      </c>
      <c r="C3134" s="1">
        <v>0</v>
      </c>
      <c r="D3134" s="1">
        <f>0.059994*(1000000)</f>
        <v>59994</v>
      </c>
    </row>
    <row r="3135" spans="1:4" x14ac:dyDescent="0.25">
      <c r="A3135" s="2">
        <v>38749</v>
      </c>
      <c r="B3135" s="1" t="s">
        <v>20</v>
      </c>
      <c r="C3135" s="1">
        <v>0</v>
      </c>
      <c r="D3135" s="1">
        <f>0.059443*(1000000)</f>
        <v>59443</v>
      </c>
    </row>
    <row r="3136" spans="1:4" x14ac:dyDescent="0.25">
      <c r="A3136" s="2">
        <v>38777</v>
      </c>
      <c r="B3136" s="1" t="s">
        <v>20</v>
      </c>
      <c r="C3136" s="1">
        <v>0</v>
      </c>
      <c r="D3136" s="1">
        <f>0.060533*(1000000)</f>
        <v>60533</v>
      </c>
    </row>
    <row r="3137" spans="1:4" x14ac:dyDescent="0.25">
      <c r="A3137" s="2">
        <v>38808</v>
      </c>
      <c r="B3137" s="1" t="s">
        <v>20</v>
      </c>
      <c r="C3137" s="1">
        <v>0</v>
      </c>
      <c r="D3137" s="1">
        <f>0.059752*(1000000)</f>
        <v>59752</v>
      </c>
    </row>
    <row r="3138" spans="1:4" x14ac:dyDescent="0.25">
      <c r="A3138" s="2">
        <v>38838</v>
      </c>
      <c r="B3138" s="1" t="s">
        <v>20</v>
      </c>
      <c r="C3138" s="1">
        <v>0</v>
      </c>
      <c r="D3138" s="1">
        <f>0.060299*(1000000)</f>
        <v>60299</v>
      </c>
    </row>
    <row r="3139" spans="1:4" x14ac:dyDescent="0.25">
      <c r="A3139" s="2">
        <v>38869</v>
      </c>
      <c r="B3139" s="1" t="s">
        <v>20</v>
      </c>
      <c r="C3139" s="1">
        <v>0</v>
      </c>
      <c r="D3139" s="1">
        <f>0.062013*(1000000)</f>
        <v>62013</v>
      </c>
    </row>
    <row r="3140" spans="1:4" x14ac:dyDescent="0.25">
      <c r="A3140" s="2">
        <v>38899</v>
      </c>
      <c r="B3140" s="1" t="s">
        <v>20</v>
      </c>
      <c r="C3140" s="1">
        <v>0</v>
      </c>
      <c r="D3140" s="1">
        <f>0.063351*(1000000)</f>
        <v>63351.000000000007</v>
      </c>
    </row>
    <row r="3141" spans="1:4" x14ac:dyDescent="0.25">
      <c r="A3141" s="2">
        <v>38930</v>
      </c>
      <c r="B3141" s="1" t="s">
        <v>20</v>
      </c>
      <c r="C3141" s="1">
        <v>0</v>
      </c>
      <c r="D3141" s="1">
        <f>0.063814*(1000000)</f>
        <v>63813.999999999993</v>
      </c>
    </row>
    <row r="3142" spans="1:4" x14ac:dyDescent="0.25">
      <c r="A3142" s="2">
        <v>38961</v>
      </c>
      <c r="B3142" s="1" t="s">
        <v>20</v>
      </c>
      <c r="C3142" s="1">
        <v>0</v>
      </c>
      <c r="D3142" s="1">
        <f>0.066587*(1000000)</f>
        <v>66587</v>
      </c>
    </row>
    <row r="3143" spans="1:4" x14ac:dyDescent="0.25">
      <c r="A3143" s="2">
        <v>38991</v>
      </c>
      <c r="B3143" s="1" t="s">
        <v>20</v>
      </c>
      <c r="C3143" s="1">
        <v>0</v>
      </c>
      <c r="D3143" s="1">
        <f>0.066616*(1000000)</f>
        <v>66616</v>
      </c>
    </row>
    <row r="3144" spans="1:4" x14ac:dyDescent="0.25">
      <c r="A3144" s="2">
        <v>39022</v>
      </c>
      <c r="B3144" s="1" t="s">
        <v>20</v>
      </c>
      <c r="C3144" s="1">
        <v>0</v>
      </c>
      <c r="D3144" s="1">
        <f>0.066829*(1000000)</f>
        <v>66829</v>
      </c>
    </row>
    <row r="3145" spans="1:4" x14ac:dyDescent="0.25">
      <c r="A3145" s="2">
        <v>39052</v>
      </c>
      <c r="B3145" s="1" t="s">
        <v>20</v>
      </c>
      <c r="C3145" s="1">
        <v>0</v>
      </c>
      <c r="D3145" s="1">
        <f>0.066961*(1000000)</f>
        <v>66961</v>
      </c>
    </row>
    <row r="3146" spans="1:4" x14ac:dyDescent="0.25">
      <c r="A3146" s="2">
        <v>39083</v>
      </c>
      <c r="B3146" s="1" t="s">
        <v>20</v>
      </c>
      <c r="C3146" s="1">
        <v>0</v>
      </c>
      <c r="D3146" s="1">
        <f>0.066882*(1000000)</f>
        <v>66882</v>
      </c>
    </row>
    <row r="3147" spans="1:4" x14ac:dyDescent="0.25">
      <c r="A3147" s="2">
        <v>39114</v>
      </c>
      <c r="B3147" s="1" t="s">
        <v>20</v>
      </c>
      <c r="C3147" s="1">
        <v>0</v>
      </c>
      <c r="D3147" s="1">
        <f>0.067065*(1000000)</f>
        <v>67065</v>
      </c>
    </row>
    <row r="3148" spans="1:4" x14ac:dyDescent="0.25">
      <c r="A3148" s="2">
        <v>39142</v>
      </c>
      <c r="B3148" s="1" t="s">
        <v>20</v>
      </c>
      <c r="C3148" s="1">
        <v>0</v>
      </c>
      <c r="D3148" s="1">
        <f>0.06856*(1000000)</f>
        <v>68560</v>
      </c>
    </row>
    <row r="3149" spans="1:4" x14ac:dyDescent="0.25">
      <c r="A3149" s="2">
        <v>39173</v>
      </c>
      <c r="B3149" s="1" t="s">
        <v>20</v>
      </c>
      <c r="C3149" s="1">
        <v>0</v>
      </c>
      <c r="D3149" s="1">
        <f>0.068814*(1000000)</f>
        <v>68814</v>
      </c>
    </row>
    <row r="3150" spans="1:4" x14ac:dyDescent="0.25">
      <c r="A3150" s="2">
        <v>39203</v>
      </c>
      <c r="B3150" s="1" t="s">
        <v>20</v>
      </c>
      <c r="C3150" s="1">
        <v>0</v>
      </c>
      <c r="D3150" s="1">
        <f>0.073633*(1000000)</f>
        <v>73633</v>
      </c>
    </row>
    <row r="3151" spans="1:4" x14ac:dyDescent="0.25">
      <c r="A3151" s="2">
        <v>39234</v>
      </c>
      <c r="B3151" s="1" t="s">
        <v>20</v>
      </c>
      <c r="C3151" s="1">
        <v>0</v>
      </c>
      <c r="D3151" s="1">
        <f>0.072805*(1000000)</f>
        <v>72805</v>
      </c>
    </row>
    <row r="3152" spans="1:4" x14ac:dyDescent="0.25">
      <c r="A3152" s="2">
        <v>39264</v>
      </c>
      <c r="B3152" s="1" t="s">
        <v>20</v>
      </c>
      <c r="C3152" s="1">
        <v>0</v>
      </c>
      <c r="D3152" s="1">
        <f>0.074802*(1000000)</f>
        <v>74802</v>
      </c>
    </row>
    <row r="3153" spans="1:4" x14ac:dyDescent="0.25">
      <c r="A3153" s="2">
        <v>39295</v>
      </c>
      <c r="B3153" s="1" t="s">
        <v>20</v>
      </c>
      <c r="C3153" s="1">
        <v>0</v>
      </c>
      <c r="D3153" s="1">
        <f>0.075335*(1000000)</f>
        <v>75335</v>
      </c>
    </row>
    <row r="3154" spans="1:4" x14ac:dyDescent="0.25">
      <c r="A3154" s="2">
        <v>39326</v>
      </c>
      <c r="B3154" s="1" t="s">
        <v>20</v>
      </c>
      <c r="C3154" s="1">
        <v>0</v>
      </c>
      <c r="D3154" s="1">
        <f>0.07656*(1000000)</f>
        <v>76560</v>
      </c>
    </row>
    <row r="3155" spans="1:4" x14ac:dyDescent="0.25">
      <c r="A3155" s="2">
        <v>39356</v>
      </c>
      <c r="B3155" s="1" t="s">
        <v>20</v>
      </c>
      <c r="C3155" s="1">
        <v>0</v>
      </c>
      <c r="D3155" s="1">
        <f>0.081048*(1000000)</f>
        <v>81048</v>
      </c>
    </row>
    <row r="3156" spans="1:4" x14ac:dyDescent="0.25">
      <c r="A3156" s="2">
        <v>39387</v>
      </c>
      <c r="B3156" s="1" t="s">
        <v>20</v>
      </c>
      <c r="C3156" s="1">
        <v>0</v>
      </c>
      <c r="D3156" s="1">
        <f>0.079995*(1000000)</f>
        <v>79995</v>
      </c>
    </row>
    <row r="3157" spans="1:4" x14ac:dyDescent="0.25">
      <c r="A3157" s="2">
        <v>39417</v>
      </c>
      <c r="B3157" s="1" t="s">
        <v>20</v>
      </c>
      <c r="C3157" s="1">
        <v>0</v>
      </c>
      <c r="D3157" s="1">
        <f>0.08458*(1000000)</f>
        <v>84580</v>
      </c>
    </row>
    <row r="3158" spans="1:4" x14ac:dyDescent="0.25">
      <c r="A3158" s="2">
        <v>39448</v>
      </c>
      <c r="B3158" s="1" t="s">
        <v>20</v>
      </c>
      <c r="C3158" s="1">
        <v>0</v>
      </c>
      <c r="D3158" s="1">
        <f>0.085595*(1000000)</f>
        <v>85595</v>
      </c>
    </row>
    <row r="3159" spans="1:4" x14ac:dyDescent="0.25">
      <c r="A3159" s="2">
        <v>39479</v>
      </c>
      <c r="B3159" s="1" t="s">
        <v>20</v>
      </c>
      <c r="C3159" s="1">
        <v>0</v>
      </c>
      <c r="D3159" s="1">
        <f>0.085258*(1000000)</f>
        <v>85258</v>
      </c>
    </row>
    <row r="3160" spans="1:4" x14ac:dyDescent="0.25">
      <c r="A3160" s="2">
        <v>39508</v>
      </c>
      <c r="B3160" s="1" t="s">
        <v>20</v>
      </c>
      <c r="C3160" s="1">
        <v>0</v>
      </c>
      <c r="D3160" s="1">
        <f>0.09065*(1000000)</f>
        <v>90650</v>
      </c>
    </row>
    <row r="3161" spans="1:4" x14ac:dyDescent="0.25">
      <c r="A3161" s="2">
        <v>39539</v>
      </c>
      <c r="B3161" s="1" t="s">
        <v>20</v>
      </c>
      <c r="C3161" s="1">
        <v>0</v>
      </c>
      <c r="D3161" s="1">
        <f>0.097644*(1000000)</f>
        <v>97644</v>
      </c>
    </row>
    <row r="3162" spans="1:4" x14ac:dyDescent="0.25">
      <c r="A3162" s="2">
        <v>39569</v>
      </c>
      <c r="B3162" s="1" t="s">
        <v>20</v>
      </c>
      <c r="C3162" s="1">
        <v>0</v>
      </c>
      <c r="D3162" s="1">
        <f>0.105567*(1000000)</f>
        <v>105567</v>
      </c>
    </row>
    <row r="3163" spans="1:4" x14ac:dyDescent="0.25">
      <c r="A3163" s="2">
        <v>39600</v>
      </c>
      <c r="B3163" s="1" t="s">
        <v>20</v>
      </c>
      <c r="C3163" s="1">
        <v>0</v>
      </c>
      <c r="D3163" s="1">
        <f>0.115507*(1000000)</f>
        <v>115507</v>
      </c>
    </row>
    <row r="3164" spans="1:4" x14ac:dyDescent="0.25">
      <c r="A3164" s="2">
        <v>39630</v>
      </c>
      <c r="B3164" s="1" t="s">
        <v>20</v>
      </c>
      <c r="C3164" s="1">
        <v>0</v>
      </c>
      <c r="D3164" s="1">
        <f>0.120685*(1000000)</f>
        <v>120685</v>
      </c>
    </row>
    <row r="3165" spans="1:4" x14ac:dyDescent="0.25">
      <c r="A3165" s="2">
        <v>39661</v>
      </c>
      <c r="B3165" s="1" t="s">
        <v>20</v>
      </c>
      <c r="C3165" s="1">
        <v>0</v>
      </c>
      <c r="D3165" s="1">
        <f>0.127772*(1000000)</f>
        <v>127772</v>
      </c>
    </row>
    <row r="3166" spans="1:4" x14ac:dyDescent="0.25">
      <c r="A3166" s="2">
        <v>39692</v>
      </c>
      <c r="B3166" s="1" t="s">
        <v>20</v>
      </c>
      <c r="C3166" s="1">
        <v>0</v>
      </c>
      <c r="D3166" s="1">
        <f>0.139767*(1000000)</f>
        <v>139767</v>
      </c>
    </row>
    <row r="3167" spans="1:4" x14ac:dyDescent="0.25">
      <c r="A3167" s="2">
        <v>39722</v>
      </c>
      <c r="B3167" s="1" t="s">
        <v>20</v>
      </c>
      <c r="C3167" s="1">
        <v>0</v>
      </c>
      <c r="D3167" s="1">
        <f>0.155873*(1000000)</f>
        <v>155873</v>
      </c>
    </row>
    <row r="3168" spans="1:4" x14ac:dyDescent="0.25">
      <c r="A3168" s="2">
        <v>39753</v>
      </c>
      <c r="B3168" s="1" t="s">
        <v>20</v>
      </c>
      <c r="C3168" s="1">
        <v>0</v>
      </c>
      <c r="D3168" s="1">
        <f>0.167623*(1000000)</f>
        <v>167623</v>
      </c>
    </row>
    <row r="3169" spans="1:4" x14ac:dyDescent="0.25">
      <c r="A3169" s="2">
        <v>39783</v>
      </c>
      <c r="B3169" s="1" t="s">
        <v>20</v>
      </c>
      <c r="C3169" s="1">
        <v>0</v>
      </c>
      <c r="D3169" s="1">
        <f>0.157404*(1000000)</f>
        <v>157404</v>
      </c>
    </row>
    <row r="3170" spans="1:4" x14ac:dyDescent="0.25">
      <c r="A3170" s="2">
        <v>39814</v>
      </c>
      <c r="B3170" s="1" t="s">
        <v>20</v>
      </c>
      <c r="C3170" s="1">
        <v>0</v>
      </c>
      <c r="D3170" s="1">
        <f>0.144742*(1000000)</f>
        <v>144742</v>
      </c>
    </row>
    <row r="3171" spans="1:4" x14ac:dyDescent="0.25">
      <c r="A3171" s="2">
        <v>39845</v>
      </c>
      <c r="B3171" s="1" t="s">
        <v>20</v>
      </c>
      <c r="C3171" s="1">
        <v>0</v>
      </c>
      <c r="D3171" s="1">
        <f>0.15051*(1000000)</f>
        <v>150510</v>
      </c>
    </row>
    <row r="3172" spans="1:4" x14ac:dyDescent="0.25">
      <c r="A3172" s="2">
        <v>39873</v>
      </c>
      <c r="B3172" s="1" t="s">
        <v>20</v>
      </c>
      <c r="C3172" s="1">
        <v>0</v>
      </c>
      <c r="D3172" s="1">
        <f>0.154827*(1000000)</f>
        <v>154827</v>
      </c>
    </row>
    <row r="3173" spans="1:4" x14ac:dyDescent="0.25">
      <c r="A3173" s="2">
        <v>39904</v>
      </c>
      <c r="B3173" s="1" t="s">
        <v>20</v>
      </c>
      <c r="C3173" s="1">
        <v>0</v>
      </c>
      <c r="D3173" s="1">
        <f>0.156911*(1000000)</f>
        <v>156911</v>
      </c>
    </row>
    <row r="3174" spans="1:4" x14ac:dyDescent="0.25">
      <c r="A3174" s="2">
        <v>39934</v>
      </c>
      <c r="B3174" s="1" t="s">
        <v>20</v>
      </c>
      <c r="C3174" s="1">
        <v>0</v>
      </c>
      <c r="D3174" s="1">
        <f>0.165051*(1000000)</f>
        <v>165051</v>
      </c>
    </row>
    <row r="3175" spans="1:4" x14ac:dyDescent="0.25">
      <c r="A3175" s="2">
        <v>39965</v>
      </c>
      <c r="B3175" s="1" t="s">
        <v>20</v>
      </c>
      <c r="C3175" s="1">
        <v>0</v>
      </c>
      <c r="D3175" s="1">
        <f>0.173279*(1000000)</f>
        <v>173279</v>
      </c>
    </row>
    <row r="3176" spans="1:4" x14ac:dyDescent="0.25">
      <c r="A3176" s="2">
        <v>39995</v>
      </c>
      <c r="B3176" s="1" t="s">
        <v>20</v>
      </c>
      <c r="C3176" s="1">
        <v>0</v>
      </c>
      <c r="D3176" s="1">
        <f>0.185805*(1000000)</f>
        <v>185805</v>
      </c>
    </row>
    <row r="3177" spans="1:4" x14ac:dyDescent="0.25">
      <c r="A3177" s="2">
        <v>40026</v>
      </c>
      <c r="B3177" s="1" t="s">
        <v>20</v>
      </c>
      <c r="C3177" s="1">
        <v>0</v>
      </c>
      <c r="D3177" s="1">
        <f>0.188763*(1000000)</f>
        <v>188763</v>
      </c>
    </row>
    <row r="3178" spans="1:4" x14ac:dyDescent="0.25">
      <c r="A3178" s="2">
        <v>40057</v>
      </c>
      <c r="B3178" s="1" t="s">
        <v>20</v>
      </c>
      <c r="C3178" s="1">
        <v>0</v>
      </c>
      <c r="D3178" s="1">
        <f>0.195166*(1000000)</f>
        <v>195166</v>
      </c>
    </row>
    <row r="3179" spans="1:4" x14ac:dyDescent="0.25">
      <c r="A3179" s="2">
        <v>40087</v>
      </c>
      <c r="B3179" s="1" t="s">
        <v>20</v>
      </c>
      <c r="C3179" s="1">
        <v>0</v>
      </c>
      <c r="D3179" s="1">
        <f>0.197746*(1000000)</f>
        <v>197746</v>
      </c>
    </row>
    <row r="3180" spans="1:4" x14ac:dyDescent="0.25">
      <c r="A3180" s="2">
        <v>40118</v>
      </c>
      <c r="B3180" s="1" t="s">
        <v>20</v>
      </c>
      <c r="C3180" s="1">
        <v>0</v>
      </c>
      <c r="D3180" s="1">
        <f>0.201667*(1000000)</f>
        <v>201667</v>
      </c>
    </row>
    <row r="3181" spans="1:4" x14ac:dyDescent="0.25">
      <c r="A3181" s="2">
        <v>40148</v>
      </c>
      <c r="B3181" s="1" t="s">
        <v>20</v>
      </c>
      <c r="C3181" s="1">
        <v>0</v>
      </c>
      <c r="D3181" s="1">
        <f>0.199808*(1000000)</f>
        <v>199808</v>
      </c>
    </row>
    <row r="3182" spans="1:4" x14ac:dyDescent="0.25">
      <c r="A3182" s="2">
        <v>40179</v>
      </c>
      <c r="B3182" s="1" t="s">
        <v>20</v>
      </c>
      <c r="C3182" s="1">
        <v>0</v>
      </c>
      <c r="D3182" s="1">
        <f>0.201263*(1000000)</f>
        <v>201263</v>
      </c>
    </row>
    <row r="3183" spans="1:4" x14ac:dyDescent="0.25">
      <c r="A3183" s="2">
        <v>40210</v>
      </c>
      <c r="B3183" s="1" t="s">
        <v>20</v>
      </c>
      <c r="C3183" s="1">
        <v>0</v>
      </c>
      <c r="D3183" s="1">
        <f>0.220109*(1000000)</f>
        <v>220109</v>
      </c>
    </row>
    <row r="3184" spans="1:4" x14ac:dyDescent="0.25">
      <c r="A3184" s="2">
        <v>40238</v>
      </c>
      <c r="B3184" s="1" t="s">
        <v>20</v>
      </c>
      <c r="C3184" s="1">
        <v>0</v>
      </c>
      <c r="D3184" s="1">
        <f>0.235855*(1000000)</f>
        <v>235855</v>
      </c>
    </row>
    <row r="3185" spans="1:4" x14ac:dyDescent="0.25">
      <c r="A3185" s="2">
        <v>40269</v>
      </c>
      <c r="B3185" s="1" t="s">
        <v>20</v>
      </c>
      <c r="C3185" s="1">
        <v>0</v>
      </c>
      <c r="D3185" s="1">
        <f>0.243307*(1000000)</f>
        <v>243307</v>
      </c>
    </row>
    <row r="3186" spans="1:4" x14ac:dyDescent="0.25">
      <c r="A3186" s="2">
        <v>40299</v>
      </c>
      <c r="B3186" s="1" t="s">
        <v>20</v>
      </c>
      <c r="C3186" s="1">
        <v>0</v>
      </c>
      <c r="D3186" s="1">
        <f>0.258638*(1000000)</f>
        <v>258637.99999999997</v>
      </c>
    </row>
    <row r="3187" spans="1:4" x14ac:dyDescent="0.25">
      <c r="A3187" s="2">
        <v>40330</v>
      </c>
      <c r="B3187" s="1" t="s">
        <v>20</v>
      </c>
      <c r="C3187" s="1">
        <v>0</v>
      </c>
      <c r="D3187" s="1">
        <f>0.274796*(1000000)</f>
        <v>274796</v>
      </c>
    </row>
    <row r="3188" spans="1:4" x14ac:dyDescent="0.25">
      <c r="A3188" s="2">
        <v>40360</v>
      </c>
      <c r="B3188" s="1" t="s">
        <v>20</v>
      </c>
      <c r="C3188" s="1">
        <v>0</v>
      </c>
      <c r="D3188" s="1">
        <f>0.283281*(1000000)</f>
        <v>283281</v>
      </c>
    </row>
    <row r="3189" spans="1:4" x14ac:dyDescent="0.25">
      <c r="A3189" s="2">
        <v>40391</v>
      </c>
      <c r="B3189" s="1" t="s">
        <v>20</v>
      </c>
      <c r="C3189" s="1">
        <v>0</v>
      </c>
      <c r="D3189" s="1">
        <f>0.291353*(1000000)</f>
        <v>291353</v>
      </c>
    </row>
    <row r="3190" spans="1:4" x14ac:dyDescent="0.25">
      <c r="A3190" s="2">
        <v>40422</v>
      </c>
      <c r="B3190" s="1" t="s">
        <v>20</v>
      </c>
      <c r="C3190" s="1">
        <v>0</v>
      </c>
      <c r="D3190" s="1">
        <f>0.30542*(1000000)</f>
        <v>305420</v>
      </c>
    </row>
    <row r="3191" spans="1:4" x14ac:dyDescent="0.25">
      <c r="A3191" s="2">
        <v>40452</v>
      </c>
      <c r="B3191" s="1" t="s">
        <v>20</v>
      </c>
      <c r="C3191" s="1">
        <v>0</v>
      </c>
      <c r="D3191" s="1">
        <f>0.305919*(1000000)</f>
        <v>305919</v>
      </c>
    </row>
    <row r="3192" spans="1:4" x14ac:dyDescent="0.25">
      <c r="A3192" s="2">
        <v>40483</v>
      </c>
      <c r="B3192" s="1" t="s">
        <v>20</v>
      </c>
      <c r="C3192" s="1">
        <v>0</v>
      </c>
      <c r="D3192" s="1">
        <f>0.320893*(1000000)</f>
        <v>320893</v>
      </c>
    </row>
    <row r="3193" spans="1:4" x14ac:dyDescent="0.25">
      <c r="A3193" s="2">
        <v>40513</v>
      </c>
      <c r="B3193" s="1" t="s">
        <v>20</v>
      </c>
      <c r="C3193" s="1">
        <v>0</v>
      </c>
      <c r="D3193" s="1">
        <f>0.309384*(1000000)</f>
        <v>309384</v>
      </c>
    </row>
    <row r="3194" spans="1:4" x14ac:dyDescent="0.25">
      <c r="A3194" s="2">
        <v>40544</v>
      </c>
      <c r="B3194" s="1" t="s">
        <v>20</v>
      </c>
      <c r="C3194" s="1">
        <v>0</v>
      </c>
      <c r="D3194" s="1">
        <f>0.308362*(1000000)</f>
        <v>308362</v>
      </c>
    </row>
    <row r="3195" spans="1:4" x14ac:dyDescent="0.25">
      <c r="A3195" s="2">
        <v>40575</v>
      </c>
      <c r="B3195" s="1" t="s">
        <v>20</v>
      </c>
      <c r="C3195" s="1">
        <v>0</v>
      </c>
      <c r="D3195" s="1">
        <f>0.317137*(1000000)</f>
        <v>317137</v>
      </c>
    </row>
    <row r="3196" spans="1:4" x14ac:dyDescent="0.25">
      <c r="A3196" s="2">
        <v>40603</v>
      </c>
      <c r="B3196" s="1" t="s">
        <v>20</v>
      </c>
      <c r="C3196" s="1">
        <v>0</v>
      </c>
      <c r="D3196" s="1">
        <f>0.327765*(1000000)</f>
        <v>327765</v>
      </c>
    </row>
    <row r="3197" spans="1:4" x14ac:dyDescent="0.25">
      <c r="A3197" s="2">
        <v>40634</v>
      </c>
      <c r="B3197" s="1" t="s">
        <v>20</v>
      </c>
      <c r="C3197" s="1">
        <v>0</v>
      </c>
      <c r="D3197" s="1">
        <f>0.319477*(1000000)</f>
        <v>319477</v>
      </c>
    </row>
    <row r="3198" spans="1:4" x14ac:dyDescent="0.25">
      <c r="A3198" s="2">
        <v>40664</v>
      </c>
      <c r="B3198" s="1" t="s">
        <v>20</v>
      </c>
      <c r="C3198" s="1">
        <v>0</v>
      </c>
      <c r="D3198" s="1">
        <f>0.333833*(1000000)</f>
        <v>333833</v>
      </c>
    </row>
    <row r="3199" spans="1:4" x14ac:dyDescent="0.25">
      <c r="A3199" s="2">
        <v>40695</v>
      </c>
      <c r="B3199" s="1" t="s">
        <v>20</v>
      </c>
      <c r="C3199" s="1">
        <v>0</v>
      </c>
      <c r="D3199" s="1">
        <f>0.35495*(1000000)</f>
        <v>354950</v>
      </c>
    </row>
    <row r="3200" spans="1:4" x14ac:dyDescent="0.25">
      <c r="A3200" s="2">
        <v>40725</v>
      </c>
      <c r="B3200" s="1" t="s">
        <v>20</v>
      </c>
      <c r="C3200" s="1">
        <v>0</v>
      </c>
      <c r="D3200" s="1">
        <f>0.39575*(1000000)</f>
        <v>395750</v>
      </c>
    </row>
    <row r="3201" spans="1:4" x14ac:dyDescent="0.25">
      <c r="A3201" s="2">
        <v>40756</v>
      </c>
      <c r="B3201" s="1" t="s">
        <v>20</v>
      </c>
      <c r="C3201" s="1">
        <v>0</v>
      </c>
      <c r="D3201" s="1">
        <f>0.414182*(1000000)</f>
        <v>414182</v>
      </c>
    </row>
    <row r="3202" spans="1:4" x14ac:dyDescent="0.25">
      <c r="A3202" s="2">
        <v>40787</v>
      </c>
      <c r="B3202" s="1" t="s">
        <v>20</v>
      </c>
      <c r="C3202" s="1">
        <v>0</v>
      </c>
      <c r="D3202" s="1">
        <f>0.433053*(1000000)</f>
        <v>433053</v>
      </c>
    </row>
    <row r="3203" spans="1:4" x14ac:dyDescent="0.25">
      <c r="A3203" s="2">
        <v>40817</v>
      </c>
      <c r="B3203" s="1" t="s">
        <v>20</v>
      </c>
      <c r="C3203" s="1">
        <v>0</v>
      </c>
      <c r="D3203" s="1">
        <f>0.460874*(1000000)</f>
        <v>460874</v>
      </c>
    </row>
    <row r="3204" spans="1:4" x14ac:dyDescent="0.25">
      <c r="A3204" s="2">
        <v>40848</v>
      </c>
      <c r="B3204" s="1" t="s">
        <v>20</v>
      </c>
      <c r="C3204" s="1">
        <v>0</v>
      </c>
      <c r="D3204" s="1">
        <f>0.481176*(1000000)</f>
        <v>481176</v>
      </c>
    </row>
    <row r="3205" spans="1:4" x14ac:dyDescent="0.25">
      <c r="A3205" s="2">
        <v>40878</v>
      </c>
      <c r="B3205" s="1" t="s">
        <v>20</v>
      </c>
      <c r="C3205" s="1">
        <v>0</v>
      </c>
      <c r="D3205" s="1">
        <f>0.506288*(1000000)</f>
        <v>506287.99999999994</v>
      </c>
    </row>
    <row r="3206" spans="1:4" x14ac:dyDescent="0.25">
      <c r="A3206" s="2">
        <v>40909</v>
      </c>
      <c r="B3206" s="1" t="s">
        <v>20</v>
      </c>
      <c r="C3206" s="1">
        <v>0</v>
      </c>
      <c r="D3206" s="1">
        <f>0.51798*(1000000)</f>
        <v>517980</v>
      </c>
    </row>
    <row r="3207" spans="1:4" x14ac:dyDescent="0.25">
      <c r="A3207" s="2">
        <v>40940</v>
      </c>
      <c r="B3207" s="1" t="s">
        <v>20</v>
      </c>
      <c r="C3207" s="1">
        <v>0</v>
      </c>
      <c r="D3207" s="1">
        <f>0.532424*(1000000)</f>
        <v>532424</v>
      </c>
    </row>
    <row r="3208" spans="1:4" x14ac:dyDescent="0.25">
      <c r="A3208" s="2">
        <v>40969</v>
      </c>
      <c r="B3208" s="1" t="s">
        <v>20</v>
      </c>
      <c r="C3208" s="1">
        <v>0</v>
      </c>
      <c r="D3208" s="1">
        <f>0.552737*(1000000)</f>
        <v>552737</v>
      </c>
    </row>
    <row r="3209" spans="1:4" x14ac:dyDescent="0.25">
      <c r="A3209" s="2">
        <v>41000</v>
      </c>
      <c r="B3209" s="1" t="s">
        <v>20</v>
      </c>
      <c r="C3209" s="1">
        <v>0</v>
      </c>
      <c r="D3209" s="1">
        <f>0.586953*(1000000)</f>
        <v>586953</v>
      </c>
    </row>
    <row r="3210" spans="1:4" x14ac:dyDescent="0.25">
      <c r="A3210" s="2">
        <v>41030</v>
      </c>
      <c r="B3210" s="1" t="s">
        <v>20</v>
      </c>
      <c r="C3210" s="1">
        <v>0</v>
      </c>
      <c r="D3210" s="1">
        <f>0.617153*(1000000)</f>
        <v>617153</v>
      </c>
    </row>
    <row r="3211" spans="1:4" x14ac:dyDescent="0.25">
      <c r="A3211" s="2">
        <v>41061</v>
      </c>
      <c r="B3211" s="1" t="s">
        <v>20</v>
      </c>
      <c r="C3211" s="1">
        <v>0</v>
      </c>
      <c r="D3211" s="1">
        <f>0.63772*(1000000)</f>
        <v>637720</v>
      </c>
    </row>
    <row r="3212" spans="1:4" x14ac:dyDescent="0.25">
      <c r="A3212" s="2">
        <v>41091</v>
      </c>
      <c r="B3212" s="1" t="s">
        <v>20</v>
      </c>
      <c r="C3212" s="1">
        <v>0</v>
      </c>
      <c r="D3212" s="1">
        <f>0.655764*(1000000)</f>
        <v>655764</v>
      </c>
    </row>
    <row r="3213" spans="1:4" x14ac:dyDescent="0.25">
      <c r="A3213" s="2">
        <v>41122</v>
      </c>
      <c r="B3213" s="1" t="s">
        <v>20</v>
      </c>
      <c r="C3213" s="1">
        <v>0</v>
      </c>
      <c r="D3213" s="1">
        <f>0.683057*(1000000)</f>
        <v>683057</v>
      </c>
    </row>
    <row r="3214" spans="1:4" x14ac:dyDescent="0.25">
      <c r="A3214" s="2">
        <v>41153</v>
      </c>
      <c r="B3214" s="1" t="s">
        <v>20</v>
      </c>
      <c r="C3214" s="1">
        <v>0</v>
      </c>
      <c r="D3214" s="1">
        <f>0.708874*(1000000)</f>
        <v>708874</v>
      </c>
    </row>
    <row r="3215" spans="1:4" x14ac:dyDescent="0.25">
      <c r="A3215" s="2">
        <v>41183</v>
      </c>
      <c r="B3215" s="1" t="s">
        <v>20</v>
      </c>
      <c r="C3215" s="1">
        <v>0</v>
      </c>
      <c r="D3215" s="1">
        <f>0.734925*(1000000)</f>
        <v>734925</v>
      </c>
    </row>
    <row r="3216" spans="1:4" x14ac:dyDescent="0.25">
      <c r="A3216" s="2">
        <v>41214</v>
      </c>
      <c r="B3216" s="1" t="s">
        <v>20</v>
      </c>
      <c r="C3216" s="1">
        <v>0</v>
      </c>
      <c r="D3216" s="1">
        <f>0.721933*(1000000)</f>
        <v>721933</v>
      </c>
    </row>
    <row r="3217" spans="1:4" x14ac:dyDescent="0.25">
      <c r="A3217" s="2">
        <v>41244</v>
      </c>
      <c r="B3217" s="1" t="s">
        <v>20</v>
      </c>
      <c r="C3217" s="1">
        <v>0</v>
      </c>
      <c r="D3217" s="1">
        <f>0.753532*(1000000)</f>
        <v>753532</v>
      </c>
    </row>
    <row r="3218" spans="1:4" x14ac:dyDescent="0.25">
      <c r="A3218" s="2">
        <v>41275</v>
      </c>
      <c r="B3218" s="1" t="s">
        <v>20</v>
      </c>
      <c r="C3218" s="1">
        <v>0</v>
      </c>
      <c r="D3218" s="1">
        <f>0.724385*(1000000)</f>
        <v>724385</v>
      </c>
    </row>
    <row r="3219" spans="1:4" x14ac:dyDescent="0.25">
      <c r="A3219" s="2">
        <v>41306</v>
      </c>
      <c r="B3219" s="1" t="s">
        <v>20</v>
      </c>
      <c r="C3219" s="1">
        <v>0</v>
      </c>
      <c r="D3219" s="1">
        <f>0.769886*(1000000)</f>
        <v>769886</v>
      </c>
    </row>
    <row r="3220" spans="1:4" x14ac:dyDescent="0.25">
      <c r="A3220" s="2">
        <v>41334</v>
      </c>
      <c r="B3220" s="1" t="s">
        <v>20</v>
      </c>
      <c r="C3220" s="1">
        <v>0</v>
      </c>
      <c r="D3220" s="1">
        <f>0.778109*(1000000)</f>
        <v>778109</v>
      </c>
    </row>
    <row r="3221" spans="1:4" x14ac:dyDescent="0.25">
      <c r="A3221" s="2">
        <v>41365</v>
      </c>
      <c r="B3221" s="1" t="s">
        <v>20</v>
      </c>
      <c r="C3221" s="1">
        <v>0</v>
      </c>
      <c r="D3221" s="1">
        <f>0.782669*(1000000)</f>
        <v>782669</v>
      </c>
    </row>
    <row r="3222" spans="1:4" x14ac:dyDescent="0.25">
      <c r="A3222" s="2">
        <v>41395</v>
      </c>
      <c r="B3222" s="1" t="s">
        <v>20</v>
      </c>
      <c r="C3222" s="1">
        <v>0</v>
      </c>
      <c r="D3222" s="1">
        <f>0.801032*(1000000)</f>
        <v>801032</v>
      </c>
    </row>
    <row r="3223" spans="1:4" x14ac:dyDescent="0.25">
      <c r="A3223" s="2">
        <v>41426</v>
      </c>
      <c r="B3223" s="1" t="s">
        <v>20</v>
      </c>
      <c r="C3223" s="1">
        <v>0</v>
      </c>
      <c r="D3223" s="1">
        <f>0.814024*(1000000)</f>
        <v>814024</v>
      </c>
    </row>
    <row r="3224" spans="1:4" x14ac:dyDescent="0.25">
      <c r="A3224" s="2">
        <v>41456</v>
      </c>
      <c r="B3224" s="1" t="s">
        <v>20</v>
      </c>
      <c r="C3224" s="1">
        <v>0</v>
      </c>
      <c r="D3224" s="1">
        <f>0.866127*(1000000)</f>
        <v>866127</v>
      </c>
    </row>
    <row r="3225" spans="1:4" x14ac:dyDescent="0.25">
      <c r="A3225" s="2">
        <v>41487</v>
      </c>
      <c r="B3225" s="1" t="s">
        <v>20</v>
      </c>
      <c r="C3225" s="1">
        <v>0</v>
      </c>
      <c r="D3225" s="1">
        <f>0.902689*(1000000)</f>
        <v>902689</v>
      </c>
    </row>
    <row r="3226" spans="1:4" x14ac:dyDescent="0.25">
      <c r="A3226" s="2">
        <v>41518</v>
      </c>
      <c r="B3226" s="1" t="s">
        <v>20</v>
      </c>
      <c r="C3226" s="1">
        <v>0</v>
      </c>
      <c r="D3226" s="1">
        <f>0.923861*(1000000)</f>
        <v>923861</v>
      </c>
    </row>
    <row r="3227" spans="1:4" x14ac:dyDescent="0.25">
      <c r="A3227" s="2">
        <v>41548</v>
      </c>
      <c r="B3227" s="1" t="s">
        <v>20</v>
      </c>
      <c r="C3227" s="1">
        <v>0</v>
      </c>
      <c r="D3227" s="1">
        <f>0.934039*(1000000)</f>
        <v>934039</v>
      </c>
    </row>
    <row r="3228" spans="1:4" x14ac:dyDescent="0.25">
      <c r="A3228" s="2">
        <v>41579</v>
      </c>
      <c r="B3228" s="1" t="s">
        <v>20</v>
      </c>
      <c r="C3228" s="1">
        <v>0</v>
      </c>
      <c r="D3228" s="1">
        <f>0.967053*(1000000)</f>
        <v>967053</v>
      </c>
    </row>
    <row r="3229" spans="1:4" x14ac:dyDescent="0.25">
      <c r="A3229" s="2">
        <v>41609</v>
      </c>
      <c r="B3229" s="1" t="s">
        <v>20</v>
      </c>
      <c r="C3229" s="1">
        <v>0</v>
      </c>
      <c r="D3229" s="1">
        <f>0.921112*(1000000)</f>
        <v>921112</v>
      </c>
    </row>
    <row r="3230" spans="1:4" x14ac:dyDescent="0.25">
      <c r="A3230" s="2">
        <v>41640</v>
      </c>
      <c r="B3230" s="1" t="s">
        <v>20</v>
      </c>
      <c r="C3230" s="1">
        <v>0</v>
      </c>
      <c r="D3230" s="1">
        <f>0.927443*(1000000)</f>
        <v>927443</v>
      </c>
    </row>
    <row r="3231" spans="1:4" x14ac:dyDescent="0.25">
      <c r="A3231" s="2">
        <v>41671</v>
      </c>
      <c r="B3231" s="1" t="s">
        <v>20</v>
      </c>
      <c r="C3231" s="1">
        <v>0</v>
      </c>
      <c r="D3231" s="1">
        <f>0.944444*(1000000)</f>
        <v>944444</v>
      </c>
    </row>
    <row r="3232" spans="1:4" x14ac:dyDescent="0.25">
      <c r="A3232" s="2">
        <v>41699</v>
      </c>
      <c r="B3232" s="1" t="s">
        <v>20</v>
      </c>
      <c r="C3232" s="1">
        <v>0</v>
      </c>
      <c r="D3232" s="1">
        <f>0.96693*(1000000)</f>
        <v>966930</v>
      </c>
    </row>
    <row r="3233" spans="1:4" x14ac:dyDescent="0.25">
      <c r="A3233" s="2">
        <v>41730</v>
      </c>
      <c r="B3233" s="1" t="s">
        <v>20</v>
      </c>
      <c r="C3233" s="1">
        <v>0</v>
      </c>
      <c r="D3233" s="1">
        <f>0.993123*(1000000)</f>
        <v>993123</v>
      </c>
    </row>
    <row r="3234" spans="1:4" x14ac:dyDescent="0.25">
      <c r="A3234" s="2">
        <v>41760</v>
      </c>
      <c r="B3234" s="1" t="s">
        <v>20</v>
      </c>
      <c r="C3234" s="1">
        <v>0</v>
      </c>
      <c r="D3234" s="1">
        <f>1.026725*(1000000)</f>
        <v>1026725.0000000001</v>
      </c>
    </row>
    <row r="3235" spans="1:4" x14ac:dyDescent="0.25">
      <c r="A3235" s="2">
        <v>41791</v>
      </c>
      <c r="B3235" s="1" t="s">
        <v>20</v>
      </c>
      <c r="C3235" s="1">
        <v>0</v>
      </c>
      <c r="D3235" s="1">
        <f>1.084484*(1000000)</f>
        <v>1084484</v>
      </c>
    </row>
    <row r="3236" spans="1:4" x14ac:dyDescent="0.25">
      <c r="A3236" s="2">
        <v>41821</v>
      </c>
      <c r="B3236" s="1" t="s">
        <v>20</v>
      </c>
      <c r="C3236" s="1">
        <v>0</v>
      </c>
      <c r="D3236" s="1">
        <f>1.106643*(1000000)</f>
        <v>1106643</v>
      </c>
    </row>
    <row r="3237" spans="1:4" x14ac:dyDescent="0.25">
      <c r="A3237" s="2">
        <v>41852</v>
      </c>
      <c r="B3237" s="1" t="s">
        <v>20</v>
      </c>
      <c r="C3237" s="1">
        <v>0</v>
      </c>
      <c r="D3237" s="1">
        <f>1.123678*(1000000)</f>
        <v>1123678</v>
      </c>
    </row>
    <row r="3238" spans="1:4" x14ac:dyDescent="0.25">
      <c r="A3238" s="2">
        <v>41883</v>
      </c>
      <c r="B3238" s="1" t="s">
        <v>20</v>
      </c>
      <c r="C3238" s="1">
        <v>0</v>
      </c>
      <c r="D3238" s="1">
        <f>1.177095*(1000000)</f>
        <v>1177095</v>
      </c>
    </row>
    <row r="3239" spans="1:4" x14ac:dyDescent="0.25">
      <c r="A3239" s="2">
        <v>41913</v>
      </c>
      <c r="B3239" s="1" t="s">
        <v>20</v>
      </c>
      <c r="C3239" s="1">
        <v>0</v>
      </c>
      <c r="D3239" s="1">
        <f>1.179461*(1000000)</f>
        <v>1179461</v>
      </c>
    </row>
    <row r="3240" spans="1:4" x14ac:dyDescent="0.25">
      <c r="A3240" s="2">
        <v>41944</v>
      </c>
      <c r="B3240" s="1" t="s">
        <v>20</v>
      </c>
      <c r="C3240" s="1">
        <v>0</v>
      </c>
      <c r="D3240" s="1">
        <f>1.18011*(1000000)</f>
        <v>1180110</v>
      </c>
    </row>
    <row r="3241" spans="1:4" x14ac:dyDescent="0.25">
      <c r="A3241" s="2">
        <v>41974</v>
      </c>
      <c r="B3241" s="1" t="s">
        <v>20</v>
      </c>
      <c r="C3241" s="1">
        <v>0</v>
      </c>
      <c r="D3241" s="1">
        <f>1.21919*(1000000)</f>
        <v>1219190</v>
      </c>
    </row>
    <row r="3242" spans="1:4" x14ac:dyDescent="0.25">
      <c r="A3242" s="2">
        <v>36526</v>
      </c>
      <c r="B3242" s="1" t="s">
        <v>21</v>
      </c>
      <c r="C3242" s="1">
        <v>0</v>
      </c>
      <c r="D3242" s="1">
        <v>76852</v>
      </c>
    </row>
    <row r="3243" spans="1:4" x14ac:dyDescent="0.25">
      <c r="A3243" s="2">
        <v>36557</v>
      </c>
      <c r="B3243" s="1" t="s">
        <v>21</v>
      </c>
      <c r="C3243" s="1">
        <v>0</v>
      </c>
      <c r="D3243" s="1">
        <v>77001</v>
      </c>
    </row>
    <row r="3244" spans="1:4" x14ac:dyDescent="0.25">
      <c r="A3244" s="2">
        <v>36586</v>
      </c>
      <c r="B3244" s="1" t="s">
        <v>21</v>
      </c>
      <c r="C3244" s="1">
        <v>0</v>
      </c>
      <c r="D3244" s="1">
        <v>75263</v>
      </c>
    </row>
    <row r="3245" spans="1:4" x14ac:dyDescent="0.25">
      <c r="A3245" s="2">
        <v>36617</v>
      </c>
      <c r="B3245" s="1" t="s">
        <v>21</v>
      </c>
      <c r="C3245" s="1">
        <v>0</v>
      </c>
      <c r="D3245" s="1">
        <v>75433</v>
      </c>
    </row>
    <row r="3246" spans="1:4" x14ac:dyDescent="0.25">
      <c r="A3246" s="2">
        <v>36647</v>
      </c>
      <c r="B3246" s="1" t="s">
        <v>21</v>
      </c>
      <c r="C3246" s="1">
        <v>0</v>
      </c>
      <c r="D3246" s="1">
        <v>74318</v>
      </c>
    </row>
    <row r="3247" spans="1:4" x14ac:dyDescent="0.25">
      <c r="A3247" s="2">
        <v>36678</v>
      </c>
      <c r="B3247" s="1" t="s">
        <v>21</v>
      </c>
      <c r="C3247" s="1">
        <v>0</v>
      </c>
      <c r="D3247" s="1">
        <v>73603</v>
      </c>
    </row>
    <row r="3248" spans="1:4" x14ac:dyDescent="0.25">
      <c r="A3248" s="2">
        <v>36708</v>
      </c>
      <c r="B3248" s="1" t="s">
        <v>21</v>
      </c>
      <c r="C3248" s="1">
        <v>0</v>
      </c>
      <c r="D3248" s="1">
        <v>72377</v>
      </c>
    </row>
    <row r="3249" spans="1:4" x14ac:dyDescent="0.25">
      <c r="A3249" s="2">
        <v>36739</v>
      </c>
      <c r="B3249" s="1" t="s">
        <v>21</v>
      </c>
      <c r="C3249" s="1">
        <v>0</v>
      </c>
      <c r="D3249" s="1">
        <v>72833</v>
      </c>
    </row>
    <row r="3250" spans="1:4" x14ac:dyDescent="0.25">
      <c r="A3250" s="2">
        <v>36770</v>
      </c>
      <c r="B3250" s="1" t="s">
        <v>21</v>
      </c>
      <c r="C3250" s="1">
        <v>0</v>
      </c>
      <c r="D3250" s="1">
        <v>73846</v>
      </c>
    </row>
    <row r="3251" spans="1:4" x14ac:dyDescent="0.25">
      <c r="A3251" s="2">
        <v>36800</v>
      </c>
      <c r="B3251" s="1" t="s">
        <v>21</v>
      </c>
      <c r="C3251" s="1">
        <v>0</v>
      </c>
      <c r="D3251" s="1">
        <v>75381</v>
      </c>
    </row>
    <row r="3252" spans="1:4" x14ac:dyDescent="0.25">
      <c r="A3252" s="2">
        <v>36831</v>
      </c>
      <c r="B3252" s="1" t="s">
        <v>21</v>
      </c>
      <c r="C3252" s="1">
        <v>0</v>
      </c>
      <c r="D3252" s="1">
        <v>75923</v>
      </c>
    </row>
    <row r="3253" spans="1:4" x14ac:dyDescent="0.25">
      <c r="A3253" s="2">
        <v>36861</v>
      </c>
      <c r="B3253" s="1" t="s">
        <v>21</v>
      </c>
      <c r="C3253" s="1">
        <v>0</v>
      </c>
      <c r="D3253" s="1">
        <v>75136</v>
      </c>
    </row>
    <row r="3254" spans="1:4" x14ac:dyDescent="0.25">
      <c r="A3254" s="2">
        <v>36892</v>
      </c>
      <c r="B3254" s="1" t="s">
        <v>21</v>
      </c>
      <c r="C3254" s="1">
        <v>0</v>
      </c>
      <c r="D3254" s="1">
        <v>77687</v>
      </c>
    </row>
    <row r="3255" spans="1:4" x14ac:dyDescent="0.25">
      <c r="A3255" s="2">
        <v>36923</v>
      </c>
      <c r="B3255" s="1" t="s">
        <v>21</v>
      </c>
      <c r="C3255" s="1">
        <v>0</v>
      </c>
      <c r="D3255" s="1">
        <v>76328</v>
      </c>
    </row>
    <row r="3256" spans="1:4" x14ac:dyDescent="0.25">
      <c r="A3256" s="2">
        <v>36951</v>
      </c>
      <c r="B3256" s="1" t="s">
        <v>21</v>
      </c>
      <c r="C3256" s="1">
        <v>0</v>
      </c>
      <c r="D3256" s="1">
        <v>76461</v>
      </c>
    </row>
    <row r="3257" spans="1:4" x14ac:dyDescent="0.25">
      <c r="A3257" s="2">
        <v>36982</v>
      </c>
      <c r="B3257" s="1" t="s">
        <v>21</v>
      </c>
      <c r="C3257" s="1">
        <v>0</v>
      </c>
      <c r="D3257" s="1">
        <v>74699</v>
      </c>
    </row>
    <row r="3258" spans="1:4" x14ac:dyDescent="0.25">
      <c r="A3258" s="2">
        <v>37012</v>
      </c>
      <c r="B3258" s="1" t="s">
        <v>21</v>
      </c>
      <c r="C3258" s="1">
        <v>0</v>
      </c>
      <c r="D3258" s="1">
        <v>74675</v>
      </c>
    </row>
    <row r="3259" spans="1:4" x14ac:dyDescent="0.25">
      <c r="A3259" s="2">
        <v>37043</v>
      </c>
      <c r="B3259" s="1" t="s">
        <v>21</v>
      </c>
      <c r="C3259" s="1">
        <v>0</v>
      </c>
      <c r="D3259" s="1">
        <v>74476</v>
      </c>
    </row>
    <row r="3260" spans="1:4" x14ac:dyDescent="0.25">
      <c r="A3260" s="2">
        <v>37073</v>
      </c>
      <c r="B3260" s="1" t="s">
        <v>21</v>
      </c>
      <c r="C3260" s="1">
        <v>0</v>
      </c>
      <c r="D3260" s="1">
        <v>73919</v>
      </c>
    </row>
    <row r="3261" spans="1:4" x14ac:dyDescent="0.25">
      <c r="A3261" s="2">
        <v>37104</v>
      </c>
      <c r="B3261" s="1" t="s">
        <v>21</v>
      </c>
      <c r="C3261" s="1">
        <v>0</v>
      </c>
      <c r="D3261" s="1">
        <v>74179</v>
      </c>
    </row>
    <row r="3262" spans="1:4" x14ac:dyDescent="0.25">
      <c r="A3262" s="2">
        <v>37135</v>
      </c>
      <c r="B3262" s="1" t="s">
        <v>21</v>
      </c>
      <c r="C3262" s="1">
        <v>0</v>
      </c>
      <c r="D3262" s="1">
        <v>74177</v>
      </c>
    </row>
    <row r="3263" spans="1:4" x14ac:dyDescent="0.25">
      <c r="A3263" s="2">
        <v>37165</v>
      </c>
      <c r="B3263" s="1" t="s">
        <v>21</v>
      </c>
      <c r="C3263" s="1">
        <v>0</v>
      </c>
      <c r="D3263" s="1">
        <v>74869</v>
      </c>
    </row>
    <row r="3264" spans="1:4" x14ac:dyDescent="0.25">
      <c r="A3264" s="2">
        <v>37196</v>
      </c>
      <c r="B3264" s="1" t="s">
        <v>21</v>
      </c>
      <c r="C3264" s="1">
        <v>0</v>
      </c>
      <c r="D3264" s="1">
        <v>73914</v>
      </c>
    </row>
    <row r="3265" spans="1:4" x14ac:dyDescent="0.25">
      <c r="A3265" s="2">
        <v>37226</v>
      </c>
      <c r="B3265" s="1" t="s">
        <v>21</v>
      </c>
      <c r="C3265" s="1">
        <v>0</v>
      </c>
      <c r="D3265" s="1">
        <v>75000</v>
      </c>
    </row>
    <row r="3266" spans="1:4" x14ac:dyDescent="0.25">
      <c r="A3266" s="2">
        <v>37257</v>
      </c>
      <c r="B3266" s="1" t="s">
        <v>21</v>
      </c>
      <c r="C3266" s="1">
        <v>0</v>
      </c>
      <c r="D3266" s="1">
        <v>75080</v>
      </c>
    </row>
    <row r="3267" spans="1:4" x14ac:dyDescent="0.25">
      <c r="A3267" s="2">
        <v>37288</v>
      </c>
      <c r="B3267" s="1" t="s">
        <v>21</v>
      </c>
      <c r="C3267" s="1">
        <v>0</v>
      </c>
      <c r="D3267" s="1">
        <v>74340</v>
      </c>
    </row>
    <row r="3268" spans="1:4" x14ac:dyDescent="0.25">
      <c r="A3268" s="2">
        <v>37316</v>
      </c>
      <c r="B3268" s="1" t="s">
        <v>21</v>
      </c>
      <c r="C3268" s="1">
        <v>0</v>
      </c>
      <c r="D3268" s="1">
        <v>73639</v>
      </c>
    </row>
    <row r="3269" spans="1:4" x14ac:dyDescent="0.25">
      <c r="A3269" s="2">
        <v>37347</v>
      </c>
      <c r="B3269" s="1" t="s">
        <v>21</v>
      </c>
      <c r="C3269" s="1">
        <v>0</v>
      </c>
      <c r="D3269" s="1">
        <v>72496</v>
      </c>
    </row>
    <row r="3270" spans="1:4" x14ac:dyDescent="0.25">
      <c r="A3270" s="2">
        <v>37377</v>
      </c>
      <c r="B3270" s="1" t="s">
        <v>21</v>
      </c>
      <c r="C3270" s="1">
        <v>0</v>
      </c>
      <c r="D3270" s="1">
        <v>71904</v>
      </c>
    </row>
    <row r="3271" spans="1:4" x14ac:dyDescent="0.25">
      <c r="A3271" s="2">
        <v>37408</v>
      </c>
      <c r="B3271" s="1" t="s">
        <v>21</v>
      </c>
      <c r="C3271" s="1">
        <v>0</v>
      </c>
      <c r="D3271" s="1">
        <v>69709</v>
      </c>
    </row>
    <row r="3272" spans="1:4" x14ac:dyDescent="0.25">
      <c r="A3272" s="2">
        <v>37438</v>
      </c>
      <c r="B3272" s="1" t="s">
        <v>21</v>
      </c>
      <c r="C3272" s="1">
        <v>0</v>
      </c>
      <c r="D3272" s="1">
        <v>68995</v>
      </c>
    </row>
    <row r="3273" spans="1:4" x14ac:dyDescent="0.25">
      <c r="A3273" s="2">
        <v>37469</v>
      </c>
      <c r="B3273" s="1" t="s">
        <v>21</v>
      </c>
      <c r="C3273" s="1">
        <v>0</v>
      </c>
      <c r="D3273" s="1">
        <v>68485</v>
      </c>
    </row>
    <row r="3274" spans="1:4" x14ac:dyDescent="0.25">
      <c r="A3274" s="2">
        <v>37500</v>
      </c>
      <c r="B3274" s="1" t="s">
        <v>21</v>
      </c>
      <c r="C3274" s="1">
        <v>0</v>
      </c>
      <c r="D3274" s="1">
        <v>69007</v>
      </c>
    </row>
    <row r="3275" spans="1:4" x14ac:dyDescent="0.25">
      <c r="A3275" s="2">
        <v>37530</v>
      </c>
      <c r="B3275" s="1" t="s">
        <v>21</v>
      </c>
      <c r="C3275" s="1">
        <v>0</v>
      </c>
      <c r="D3275" s="1">
        <v>69346</v>
      </c>
    </row>
    <row r="3276" spans="1:4" x14ac:dyDescent="0.25">
      <c r="A3276" s="2">
        <v>37561</v>
      </c>
      <c r="B3276" s="1" t="s">
        <v>21</v>
      </c>
      <c r="C3276" s="1">
        <v>0</v>
      </c>
      <c r="D3276" s="1">
        <v>70308</v>
      </c>
    </row>
    <row r="3277" spans="1:4" x14ac:dyDescent="0.25">
      <c r="A3277" s="2">
        <v>37591</v>
      </c>
      <c r="B3277" s="1" t="s">
        <v>21</v>
      </c>
      <c r="C3277" s="1">
        <v>0</v>
      </c>
      <c r="D3277" s="1">
        <v>70530</v>
      </c>
    </row>
    <row r="3278" spans="1:4" x14ac:dyDescent="0.25">
      <c r="A3278" s="2">
        <v>37622</v>
      </c>
      <c r="B3278" s="1" t="s">
        <v>21</v>
      </c>
      <c r="C3278" s="1">
        <v>0</v>
      </c>
      <c r="D3278" s="1">
        <v>71511</v>
      </c>
    </row>
    <row r="3279" spans="1:4" x14ac:dyDescent="0.25">
      <c r="A3279" s="2">
        <v>37653</v>
      </c>
      <c r="B3279" s="1" t="s">
        <v>21</v>
      </c>
      <c r="C3279" s="1">
        <v>0</v>
      </c>
      <c r="D3279" s="1">
        <v>71945</v>
      </c>
    </row>
    <row r="3280" spans="1:4" x14ac:dyDescent="0.25">
      <c r="A3280" s="2">
        <v>37681</v>
      </c>
      <c r="B3280" s="1" t="s">
        <v>21</v>
      </c>
      <c r="C3280" s="1">
        <v>0</v>
      </c>
      <c r="D3280" s="1">
        <v>71855</v>
      </c>
    </row>
    <row r="3281" spans="1:4" x14ac:dyDescent="0.25">
      <c r="A3281" s="2">
        <v>37712</v>
      </c>
      <c r="B3281" s="1" t="s">
        <v>21</v>
      </c>
      <c r="C3281" s="1">
        <v>0</v>
      </c>
      <c r="D3281" s="1">
        <v>71279</v>
      </c>
    </row>
    <row r="3282" spans="1:4" x14ac:dyDescent="0.25">
      <c r="A3282" s="2">
        <v>37742</v>
      </c>
      <c r="B3282" s="1" t="s">
        <v>21</v>
      </c>
      <c r="C3282" s="1">
        <v>0</v>
      </c>
      <c r="D3282" s="1">
        <v>69788</v>
      </c>
    </row>
    <row r="3283" spans="1:4" x14ac:dyDescent="0.25">
      <c r="A3283" s="2">
        <v>37773</v>
      </c>
      <c r="B3283" s="1" t="s">
        <v>21</v>
      </c>
      <c r="C3283" s="1">
        <v>0</v>
      </c>
      <c r="D3283" s="1">
        <v>69375</v>
      </c>
    </row>
    <row r="3284" spans="1:4" x14ac:dyDescent="0.25">
      <c r="A3284" s="2">
        <v>37803</v>
      </c>
      <c r="B3284" s="1" t="s">
        <v>21</v>
      </c>
      <c r="C3284" s="1">
        <v>0</v>
      </c>
      <c r="D3284" s="1">
        <v>70072</v>
      </c>
    </row>
    <row r="3285" spans="1:4" x14ac:dyDescent="0.25">
      <c r="A3285" s="2">
        <v>37834</v>
      </c>
      <c r="B3285" s="1" t="s">
        <v>21</v>
      </c>
      <c r="C3285" s="1">
        <v>0</v>
      </c>
      <c r="D3285" s="1">
        <v>69888</v>
      </c>
    </row>
    <row r="3286" spans="1:4" x14ac:dyDescent="0.25">
      <c r="A3286" s="2">
        <v>37865</v>
      </c>
      <c r="B3286" s="1" t="s">
        <v>21</v>
      </c>
      <c r="C3286" s="1">
        <v>0</v>
      </c>
      <c r="D3286" s="1">
        <v>71262</v>
      </c>
    </row>
    <row r="3287" spans="1:4" x14ac:dyDescent="0.25">
      <c r="A3287" s="2">
        <v>37895</v>
      </c>
      <c r="B3287" s="1" t="s">
        <v>21</v>
      </c>
      <c r="C3287" s="1">
        <v>0</v>
      </c>
      <c r="D3287" s="1">
        <v>71873</v>
      </c>
    </row>
    <row r="3288" spans="1:4" x14ac:dyDescent="0.25">
      <c r="A3288" s="2">
        <v>37926</v>
      </c>
      <c r="B3288" s="1" t="s">
        <v>21</v>
      </c>
      <c r="C3288" s="1">
        <v>0</v>
      </c>
      <c r="D3288" s="1">
        <v>73215</v>
      </c>
    </row>
    <row r="3289" spans="1:4" x14ac:dyDescent="0.25">
      <c r="A3289" s="2">
        <v>37956</v>
      </c>
      <c r="B3289" s="1" t="s">
        <v>21</v>
      </c>
      <c r="C3289" s="1">
        <v>0</v>
      </c>
      <c r="D3289" s="1">
        <v>73985</v>
      </c>
    </row>
    <row r="3290" spans="1:4" x14ac:dyDescent="0.25">
      <c r="A3290" s="2">
        <v>37987</v>
      </c>
      <c r="B3290" s="1" t="s">
        <v>21</v>
      </c>
      <c r="C3290" s="1">
        <v>0</v>
      </c>
      <c r="D3290" s="1">
        <v>72590</v>
      </c>
    </row>
    <row r="3291" spans="1:4" x14ac:dyDescent="0.25">
      <c r="A3291" s="2">
        <v>38018</v>
      </c>
      <c r="B3291" s="1" t="s">
        <v>21</v>
      </c>
      <c r="C3291" s="1">
        <v>0</v>
      </c>
      <c r="D3291" s="1">
        <v>72188</v>
      </c>
    </row>
    <row r="3292" spans="1:4" x14ac:dyDescent="0.25">
      <c r="A3292" s="2">
        <v>38047</v>
      </c>
      <c r="B3292" s="1" t="s">
        <v>21</v>
      </c>
      <c r="C3292" s="1">
        <v>0</v>
      </c>
      <c r="D3292" s="1">
        <v>71364</v>
      </c>
    </row>
    <row r="3293" spans="1:4" x14ac:dyDescent="0.25">
      <c r="A3293" s="2">
        <v>38078</v>
      </c>
      <c r="B3293" s="1" t="s">
        <v>21</v>
      </c>
      <c r="C3293" s="1">
        <v>0</v>
      </c>
      <c r="D3293" s="1">
        <v>71717</v>
      </c>
    </row>
    <row r="3294" spans="1:4" x14ac:dyDescent="0.25">
      <c r="A3294" s="2">
        <v>38108</v>
      </c>
      <c r="B3294" s="1" t="s">
        <v>21</v>
      </c>
      <c r="C3294" s="1">
        <v>0</v>
      </c>
      <c r="D3294" s="1">
        <v>71413</v>
      </c>
    </row>
    <row r="3295" spans="1:4" x14ac:dyDescent="0.25">
      <c r="A3295" s="2">
        <v>38139</v>
      </c>
      <c r="B3295" s="1" t="s">
        <v>21</v>
      </c>
      <c r="C3295" s="1">
        <v>0</v>
      </c>
      <c r="D3295" s="1">
        <v>70889</v>
      </c>
    </row>
    <row r="3296" spans="1:4" x14ac:dyDescent="0.25">
      <c r="A3296" s="2">
        <v>38169</v>
      </c>
      <c r="B3296" s="1" t="s">
        <v>21</v>
      </c>
      <c r="C3296" s="1">
        <v>0</v>
      </c>
      <c r="D3296" s="1">
        <v>71433</v>
      </c>
    </row>
    <row r="3297" spans="1:4" x14ac:dyDescent="0.25">
      <c r="A3297" s="2">
        <v>38200</v>
      </c>
      <c r="B3297" s="1" t="s">
        <v>21</v>
      </c>
      <c r="C3297" s="1">
        <v>0</v>
      </c>
      <c r="D3297" s="1">
        <v>70847</v>
      </c>
    </row>
    <row r="3298" spans="1:4" x14ac:dyDescent="0.25">
      <c r="A3298" s="2">
        <v>38231</v>
      </c>
      <c r="B3298" s="1" t="s">
        <v>21</v>
      </c>
      <c r="C3298" s="1">
        <v>0</v>
      </c>
      <c r="D3298" s="1">
        <v>73117</v>
      </c>
    </row>
    <row r="3299" spans="1:4" x14ac:dyDescent="0.25">
      <c r="A3299" s="2">
        <v>38261</v>
      </c>
      <c r="B3299" s="1" t="s">
        <v>21</v>
      </c>
      <c r="C3299" s="1">
        <v>0</v>
      </c>
      <c r="D3299" s="1">
        <v>74184</v>
      </c>
    </row>
    <row r="3300" spans="1:4" x14ac:dyDescent="0.25">
      <c r="A3300" s="2">
        <v>38292</v>
      </c>
      <c r="B3300" s="1" t="s">
        <v>21</v>
      </c>
      <c r="C3300" s="1">
        <v>0</v>
      </c>
      <c r="D3300" s="1">
        <v>74936</v>
      </c>
    </row>
    <row r="3301" spans="1:4" x14ac:dyDescent="0.25">
      <c r="A3301" s="2">
        <v>38322</v>
      </c>
      <c r="B3301" s="1" t="s">
        <v>21</v>
      </c>
      <c r="C3301" s="1">
        <v>0</v>
      </c>
      <c r="D3301" s="1">
        <v>75560</v>
      </c>
    </row>
    <row r="3302" spans="1:4" x14ac:dyDescent="0.25">
      <c r="A3302" s="2">
        <v>38353</v>
      </c>
      <c r="B3302" s="1" t="s">
        <v>21</v>
      </c>
      <c r="C3302" s="1">
        <v>0</v>
      </c>
      <c r="D3302" s="1">
        <v>77691</v>
      </c>
    </row>
    <row r="3303" spans="1:4" x14ac:dyDescent="0.25">
      <c r="A3303" s="2">
        <v>38384</v>
      </c>
      <c r="B3303" s="1" t="s">
        <v>21</v>
      </c>
      <c r="C3303" s="1">
        <v>0</v>
      </c>
      <c r="D3303" s="1">
        <v>79137</v>
      </c>
    </row>
    <row r="3304" spans="1:4" x14ac:dyDescent="0.25">
      <c r="A3304" s="2">
        <v>38412</v>
      </c>
      <c r="B3304" s="1" t="s">
        <v>21</v>
      </c>
      <c r="C3304" s="1">
        <v>0</v>
      </c>
      <c r="D3304" s="1">
        <v>80340</v>
      </c>
    </row>
    <row r="3305" spans="1:4" x14ac:dyDescent="0.25">
      <c r="A3305" s="2">
        <v>38443</v>
      </c>
      <c r="B3305" s="1" t="s">
        <v>21</v>
      </c>
      <c r="C3305" s="1">
        <v>0</v>
      </c>
      <c r="D3305" s="1">
        <v>79797</v>
      </c>
    </row>
    <row r="3306" spans="1:4" x14ac:dyDescent="0.25">
      <c r="A3306" s="2">
        <v>38473</v>
      </c>
      <c r="B3306" s="1" t="s">
        <v>21</v>
      </c>
      <c r="C3306" s="1">
        <v>0</v>
      </c>
      <c r="D3306" s="1">
        <v>77886</v>
      </c>
    </row>
    <row r="3307" spans="1:4" x14ac:dyDescent="0.25">
      <c r="A3307" s="2">
        <v>38504</v>
      </c>
      <c r="B3307" s="1" t="s">
        <v>21</v>
      </c>
      <c r="C3307" s="1">
        <v>0</v>
      </c>
      <c r="D3307" s="1">
        <v>77173</v>
      </c>
    </row>
    <row r="3308" spans="1:4" x14ac:dyDescent="0.25">
      <c r="A3308" s="2">
        <v>38534</v>
      </c>
      <c r="B3308" s="1" t="s">
        <v>21</v>
      </c>
      <c r="C3308" s="1">
        <v>0</v>
      </c>
      <c r="D3308" s="1">
        <v>77071</v>
      </c>
    </row>
    <row r="3309" spans="1:4" x14ac:dyDescent="0.25">
      <c r="A3309" s="2">
        <v>38565</v>
      </c>
      <c r="B3309" s="1" t="s">
        <v>21</v>
      </c>
      <c r="C3309" s="1">
        <v>0</v>
      </c>
      <c r="D3309" s="1">
        <v>76172</v>
      </c>
    </row>
    <row r="3310" spans="1:4" x14ac:dyDescent="0.25">
      <c r="A3310" s="2">
        <v>38596</v>
      </c>
      <c r="B3310" s="1" t="s">
        <v>21</v>
      </c>
      <c r="C3310" s="1">
        <v>0</v>
      </c>
      <c r="D3310" s="1">
        <v>76005</v>
      </c>
    </row>
    <row r="3311" spans="1:4" x14ac:dyDescent="0.25">
      <c r="A3311" s="2">
        <v>38626</v>
      </c>
      <c r="B3311" s="1" t="s">
        <v>21</v>
      </c>
      <c r="C3311" s="1">
        <v>0</v>
      </c>
      <c r="D3311" s="1">
        <v>78763</v>
      </c>
    </row>
    <row r="3312" spans="1:4" x14ac:dyDescent="0.25">
      <c r="A3312" s="2">
        <v>38657</v>
      </c>
      <c r="B3312" s="1" t="s">
        <v>21</v>
      </c>
      <c r="C3312" s="1">
        <v>0</v>
      </c>
      <c r="D3312" s="1">
        <v>80424</v>
      </c>
    </row>
    <row r="3313" spans="1:4" x14ac:dyDescent="0.25">
      <c r="A3313" s="2">
        <v>38687</v>
      </c>
      <c r="B3313" s="1" t="s">
        <v>21</v>
      </c>
      <c r="C3313" s="1">
        <v>0</v>
      </c>
      <c r="D3313" s="1">
        <v>80216</v>
      </c>
    </row>
    <row r="3314" spans="1:4" x14ac:dyDescent="0.25">
      <c r="A3314" s="2">
        <v>38718</v>
      </c>
      <c r="B3314" s="1" t="s">
        <v>21</v>
      </c>
      <c r="C3314" s="1">
        <v>0</v>
      </c>
      <c r="D3314" s="1">
        <v>79596</v>
      </c>
    </row>
    <row r="3315" spans="1:4" x14ac:dyDescent="0.25">
      <c r="A3315" s="2">
        <v>38749</v>
      </c>
      <c r="B3315" s="1" t="s">
        <v>21</v>
      </c>
      <c r="C3315" s="1">
        <v>0</v>
      </c>
      <c r="D3315" s="1">
        <v>79948</v>
      </c>
    </row>
    <row r="3316" spans="1:4" x14ac:dyDescent="0.25">
      <c r="A3316" s="2">
        <v>38777</v>
      </c>
      <c r="B3316" s="1" t="s">
        <v>21</v>
      </c>
      <c r="C3316" s="1">
        <v>0</v>
      </c>
      <c r="D3316" s="1">
        <v>80027</v>
      </c>
    </row>
    <row r="3317" spans="1:4" x14ac:dyDescent="0.25">
      <c r="A3317" s="2">
        <v>38808</v>
      </c>
      <c r="B3317" s="1" t="s">
        <v>21</v>
      </c>
      <c r="C3317" s="1">
        <v>0</v>
      </c>
      <c r="D3317" s="1">
        <v>78421</v>
      </c>
    </row>
    <row r="3318" spans="1:4" x14ac:dyDescent="0.25">
      <c r="A3318" s="2">
        <v>38838</v>
      </c>
      <c r="B3318" s="1" t="s">
        <v>21</v>
      </c>
      <c r="C3318" s="1">
        <v>0</v>
      </c>
      <c r="D3318" s="1">
        <v>79526</v>
      </c>
    </row>
    <row r="3319" spans="1:4" x14ac:dyDescent="0.25">
      <c r="A3319" s="2">
        <v>38869</v>
      </c>
      <c r="B3319" s="1" t="s">
        <v>21</v>
      </c>
      <c r="C3319" s="1">
        <v>0</v>
      </c>
      <c r="D3319" s="1">
        <v>79375</v>
      </c>
    </row>
    <row r="3320" spans="1:4" x14ac:dyDescent="0.25">
      <c r="A3320" s="2">
        <v>38899</v>
      </c>
      <c r="B3320" s="1" t="s">
        <v>21</v>
      </c>
      <c r="C3320" s="1">
        <v>0</v>
      </c>
      <c r="D3320" s="1">
        <v>79592</v>
      </c>
    </row>
    <row r="3321" spans="1:4" x14ac:dyDescent="0.25">
      <c r="A3321" s="2">
        <v>38930</v>
      </c>
      <c r="B3321" s="1" t="s">
        <v>21</v>
      </c>
      <c r="C3321" s="1">
        <v>0</v>
      </c>
      <c r="D3321" s="1">
        <v>81052</v>
      </c>
    </row>
    <row r="3322" spans="1:4" x14ac:dyDescent="0.25">
      <c r="A3322" s="2">
        <v>38961</v>
      </c>
      <c r="B3322" s="1" t="s">
        <v>21</v>
      </c>
      <c r="C3322" s="1">
        <v>0</v>
      </c>
      <c r="D3322" s="1">
        <v>83048</v>
      </c>
    </row>
    <row r="3323" spans="1:4" x14ac:dyDescent="0.25">
      <c r="A3323" s="2">
        <v>38991</v>
      </c>
      <c r="B3323" s="1" t="s">
        <v>21</v>
      </c>
      <c r="C3323" s="1">
        <v>0</v>
      </c>
      <c r="D3323" s="1">
        <v>83486</v>
      </c>
    </row>
    <row r="3324" spans="1:4" x14ac:dyDescent="0.25">
      <c r="A3324" s="2">
        <v>39022</v>
      </c>
      <c r="B3324" s="1" t="s">
        <v>21</v>
      </c>
      <c r="C3324" s="1">
        <v>0</v>
      </c>
      <c r="D3324" s="1">
        <v>85477</v>
      </c>
    </row>
    <row r="3325" spans="1:4" x14ac:dyDescent="0.25">
      <c r="A3325" s="2">
        <v>39052</v>
      </c>
      <c r="B3325" s="1" t="s">
        <v>21</v>
      </c>
      <c r="C3325" s="1">
        <v>0</v>
      </c>
      <c r="D3325" s="1">
        <v>87177</v>
      </c>
    </row>
    <row r="3326" spans="1:4" x14ac:dyDescent="0.25">
      <c r="A3326" s="2">
        <v>39083</v>
      </c>
      <c r="B3326" s="1" t="s">
        <v>21</v>
      </c>
      <c r="C3326" s="1">
        <v>0</v>
      </c>
      <c r="D3326" s="1">
        <v>86423</v>
      </c>
    </row>
    <row r="3327" spans="1:4" x14ac:dyDescent="0.25">
      <c r="A3327" s="2">
        <v>39114</v>
      </c>
      <c r="B3327" s="1" t="s">
        <v>21</v>
      </c>
      <c r="C3327" s="1">
        <v>0</v>
      </c>
      <c r="D3327" s="1">
        <v>88975</v>
      </c>
    </row>
    <row r="3328" spans="1:4" x14ac:dyDescent="0.25">
      <c r="A3328" s="2">
        <v>39142</v>
      </c>
      <c r="B3328" s="1" t="s">
        <v>21</v>
      </c>
      <c r="C3328" s="1">
        <v>0</v>
      </c>
      <c r="D3328" s="1">
        <v>90495</v>
      </c>
    </row>
    <row r="3329" spans="1:4" x14ac:dyDescent="0.25">
      <c r="A3329" s="2">
        <v>39173</v>
      </c>
      <c r="B3329" s="1" t="s">
        <v>21</v>
      </c>
      <c r="C3329" s="1">
        <v>0</v>
      </c>
      <c r="D3329" s="1">
        <v>91766</v>
      </c>
    </row>
    <row r="3330" spans="1:4" x14ac:dyDescent="0.25">
      <c r="A3330" s="2">
        <v>39203</v>
      </c>
      <c r="B3330" s="1" t="s">
        <v>21</v>
      </c>
      <c r="C3330" s="1">
        <v>0</v>
      </c>
      <c r="D3330" s="1">
        <v>89585</v>
      </c>
    </row>
    <row r="3331" spans="1:4" x14ac:dyDescent="0.25">
      <c r="A3331" s="2">
        <v>39234</v>
      </c>
      <c r="B3331" s="1" t="s">
        <v>21</v>
      </c>
      <c r="C3331" s="1">
        <v>0</v>
      </c>
      <c r="D3331" s="1">
        <v>89106</v>
      </c>
    </row>
    <row r="3332" spans="1:4" x14ac:dyDescent="0.25">
      <c r="A3332" s="2">
        <v>39264</v>
      </c>
      <c r="B3332" s="1" t="s">
        <v>21</v>
      </c>
      <c r="C3332" s="1">
        <v>0</v>
      </c>
      <c r="D3332" s="1">
        <v>92742</v>
      </c>
    </row>
    <row r="3333" spans="1:4" x14ac:dyDescent="0.25">
      <c r="A3333" s="2">
        <v>39295</v>
      </c>
      <c r="B3333" s="1" t="s">
        <v>21</v>
      </c>
      <c r="C3333" s="1">
        <v>0</v>
      </c>
      <c r="D3333" s="1">
        <v>92530</v>
      </c>
    </row>
    <row r="3334" spans="1:4" x14ac:dyDescent="0.25">
      <c r="A3334" s="2">
        <v>39326</v>
      </c>
      <c r="B3334" s="1" t="s">
        <v>21</v>
      </c>
      <c r="C3334" s="1">
        <v>0</v>
      </c>
      <c r="D3334" s="1">
        <v>94198</v>
      </c>
    </row>
    <row r="3335" spans="1:4" x14ac:dyDescent="0.25">
      <c r="A3335" s="2">
        <v>39356</v>
      </c>
      <c r="B3335" s="1" t="s">
        <v>21</v>
      </c>
      <c r="C3335" s="1">
        <v>0</v>
      </c>
      <c r="D3335" s="1">
        <v>96411</v>
      </c>
    </row>
    <row r="3336" spans="1:4" x14ac:dyDescent="0.25">
      <c r="A3336" s="2">
        <v>39387</v>
      </c>
      <c r="B3336" s="1" t="s">
        <v>21</v>
      </c>
      <c r="C3336" s="1">
        <v>0</v>
      </c>
      <c r="D3336" s="1">
        <v>98774</v>
      </c>
    </row>
    <row r="3337" spans="1:4" x14ac:dyDescent="0.25">
      <c r="A3337" s="2">
        <v>39417</v>
      </c>
      <c r="B3337" s="1" t="s">
        <v>21</v>
      </c>
      <c r="C3337" s="1">
        <v>0</v>
      </c>
      <c r="D3337" s="1">
        <v>100430</v>
      </c>
    </row>
    <row r="3338" spans="1:4" x14ac:dyDescent="0.25">
      <c r="A3338" s="2">
        <v>39448</v>
      </c>
      <c r="B3338" s="1" t="s">
        <v>21</v>
      </c>
      <c r="C3338" s="1">
        <v>0</v>
      </c>
      <c r="D3338" s="1">
        <v>100737</v>
      </c>
    </row>
    <row r="3339" spans="1:4" x14ac:dyDescent="0.25">
      <c r="A3339" s="2">
        <v>39479</v>
      </c>
      <c r="B3339" s="1" t="s">
        <v>21</v>
      </c>
      <c r="C3339" s="1">
        <v>0</v>
      </c>
      <c r="D3339" s="1">
        <v>104645</v>
      </c>
    </row>
    <row r="3340" spans="1:4" x14ac:dyDescent="0.25">
      <c r="A3340" s="2">
        <v>39508</v>
      </c>
      <c r="B3340" s="1" t="s">
        <v>21</v>
      </c>
      <c r="C3340" s="1">
        <v>0</v>
      </c>
      <c r="D3340" s="1">
        <v>107193</v>
      </c>
    </row>
    <row r="3341" spans="1:4" x14ac:dyDescent="0.25">
      <c r="A3341" s="2">
        <v>39539</v>
      </c>
      <c r="B3341" s="1" t="s">
        <v>21</v>
      </c>
      <c r="C3341" s="1">
        <v>0</v>
      </c>
      <c r="D3341" s="1">
        <v>107705</v>
      </c>
    </row>
    <row r="3342" spans="1:4" x14ac:dyDescent="0.25">
      <c r="A3342" s="2">
        <v>39569</v>
      </c>
      <c r="B3342" s="1" t="s">
        <v>21</v>
      </c>
      <c r="C3342" s="1">
        <v>0</v>
      </c>
      <c r="D3342" s="1">
        <v>109430</v>
      </c>
    </row>
    <row r="3343" spans="1:4" x14ac:dyDescent="0.25">
      <c r="A3343" s="2">
        <v>39600</v>
      </c>
      <c r="B3343" s="1" t="s">
        <v>21</v>
      </c>
      <c r="C3343" s="1">
        <v>0</v>
      </c>
      <c r="D3343" s="1">
        <v>109511</v>
      </c>
    </row>
    <row r="3344" spans="1:4" x14ac:dyDescent="0.25">
      <c r="A3344" s="2">
        <v>39630</v>
      </c>
      <c r="B3344" s="1" t="s">
        <v>21</v>
      </c>
      <c r="C3344" s="1">
        <v>0</v>
      </c>
      <c r="D3344" s="1">
        <v>115091</v>
      </c>
    </row>
    <row r="3345" spans="1:4" x14ac:dyDescent="0.25">
      <c r="A3345" s="2">
        <v>39661</v>
      </c>
      <c r="B3345" s="1" t="s">
        <v>21</v>
      </c>
      <c r="C3345" s="1">
        <v>0</v>
      </c>
      <c r="D3345" s="1">
        <v>117260</v>
      </c>
    </row>
    <row r="3346" spans="1:4" x14ac:dyDescent="0.25">
      <c r="A3346" s="2">
        <v>39692</v>
      </c>
      <c r="B3346" s="1" t="s">
        <v>21</v>
      </c>
      <c r="C3346" s="1">
        <v>0</v>
      </c>
      <c r="D3346" s="1">
        <v>111560</v>
      </c>
    </row>
    <row r="3347" spans="1:4" x14ac:dyDescent="0.25">
      <c r="A3347" s="2">
        <v>39722</v>
      </c>
      <c r="B3347" s="1" t="s">
        <v>21</v>
      </c>
      <c r="C3347" s="1">
        <v>0</v>
      </c>
      <c r="D3347" s="1">
        <v>122337</v>
      </c>
    </row>
    <row r="3348" spans="1:4" x14ac:dyDescent="0.25">
      <c r="A3348" s="2">
        <v>39753</v>
      </c>
      <c r="B3348" s="1" t="s">
        <v>21</v>
      </c>
      <c r="C3348" s="1">
        <v>0</v>
      </c>
      <c r="D3348" s="1">
        <v>128479.00000000001</v>
      </c>
    </row>
    <row r="3349" spans="1:4" x14ac:dyDescent="0.25">
      <c r="A3349" s="2">
        <v>39783</v>
      </c>
      <c r="B3349" s="1" t="s">
        <v>21</v>
      </c>
      <c r="C3349" s="1">
        <v>0</v>
      </c>
      <c r="D3349" s="1">
        <v>129235.99999999999</v>
      </c>
    </row>
    <row r="3350" spans="1:4" x14ac:dyDescent="0.25">
      <c r="A3350" s="2">
        <v>39814</v>
      </c>
      <c r="B3350" s="1" t="s">
        <v>21</v>
      </c>
      <c r="C3350" s="1">
        <v>0</v>
      </c>
      <c r="D3350" s="1">
        <v>128403.99999999999</v>
      </c>
    </row>
    <row r="3351" spans="1:4" x14ac:dyDescent="0.25">
      <c r="A3351" s="2">
        <v>39845</v>
      </c>
      <c r="B3351" s="1" t="s">
        <v>21</v>
      </c>
      <c r="C3351" s="1">
        <v>0</v>
      </c>
      <c r="D3351" s="1">
        <v>128869.00000000001</v>
      </c>
    </row>
    <row r="3352" spans="1:4" x14ac:dyDescent="0.25">
      <c r="A3352" s="2">
        <v>39873</v>
      </c>
      <c r="B3352" s="1" t="s">
        <v>21</v>
      </c>
      <c r="C3352" s="1">
        <v>0</v>
      </c>
      <c r="D3352" s="1">
        <v>129630</v>
      </c>
    </row>
    <row r="3353" spans="1:4" x14ac:dyDescent="0.25">
      <c r="A3353" s="2">
        <v>39904</v>
      </c>
      <c r="B3353" s="1" t="s">
        <v>21</v>
      </c>
      <c r="C3353" s="1">
        <v>0</v>
      </c>
      <c r="D3353" s="1">
        <v>127012.99999999999</v>
      </c>
    </row>
    <row r="3354" spans="1:4" x14ac:dyDescent="0.25">
      <c r="A3354" s="2">
        <v>39934</v>
      </c>
      <c r="B3354" s="1" t="s">
        <v>21</v>
      </c>
      <c r="C3354" s="1">
        <v>0</v>
      </c>
      <c r="D3354" s="1">
        <v>124168</v>
      </c>
    </row>
    <row r="3355" spans="1:4" x14ac:dyDescent="0.25">
      <c r="A3355" s="2">
        <v>39965</v>
      </c>
      <c r="B3355" s="1" t="s">
        <v>21</v>
      </c>
      <c r="C3355" s="1">
        <v>0</v>
      </c>
      <c r="D3355" s="1">
        <v>122869</v>
      </c>
    </row>
    <row r="3356" spans="1:4" x14ac:dyDescent="0.25">
      <c r="A3356" s="2">
        <v>39995</v>
      </c>
      <c r="B3356" s="1" t="s">
        <v>21</v>
      </c>
      <c r="C3356" s="1">
        <v>0</v>
      </c>
      <c r="D3356" s="1">
        <v>121632</v>
      </c>
    </row>
    <row r="3357" spans="1:4" x14ac:dyDescent="0.25">
      <c r="A3357" s="2">
        <v>40026</v>
      </c>
      <c r="B3357" s="1" t="s">
        <v>21</v>
      </c>
      <c r="C3357" s="1">
        <v>0</v>
      </c>
      <c r="D3357" s="1">
        <v>122581</v>
      </c>
    </row>
    <row r="3358" spans="1:4" x14ac:dyDescent="0.25">
      <c r="A3358" s="2">
        <v>40057</v>
      </c>
      <c r="B3358" s="1" t="s">
        <v>21</v>
      </c>
      <c r="C3358" s="1">
        <v>0</v>
      </c>
      <c r="D3358" s="1">
        <v>124529</v>
      </c>
    </row>
    <row r="3359" spans="1:4" x14ac:dyDescent="0.25">
      <c r="A3359" s="2">
        <v>40087</v>
      </c>
      <c r="B3359" s="1" t="s">
        <v>21</v>
      </c>
      <c r="C3359" s="1">
        <v>0</v>
      </c>
      <c r="D3359" s="1">
        <v>127789.99999999999</v>
      </c>
    </row>
    <row r="3360" spans="1:4" x14ac:dyDescent="0.25">
      <c r="A3360" s="2">
        <v>40118</v>
      </c>
      <c r="B3360" s="1" t="s">
        <v>21</v>
      </c>
      <c r="C3360" s="1">
        <v>0</v>
      </c>
      <c r="D3360" s="1">
        <v>131945</v>
      </c>
    </row>
    <row r="3361" spans="1:4" x14ac:dyDescent="0.25">
      <c r="A3361" s="2">
        <v>40148</v>
      </c>
      <c r="B3361" s="1" t="s">
        <v>21</v>
      </c>
      <c r="C3361" s="1">
        <v>0</v>
      </c>
      <c r="D3361" s="1">
        <v>133474</v>
      </c>
    </row>
    <row r="3362" spans="1:4" x14ac:dyDescent="0.25">
      <c r="A3362" s="2">
        <v>40179</v>
      </c>
      <c r="B3362" s="1" t="s">
        <v>21</v>
      </c>
      <c r="C3362" s="1">
        <v>0</v>
      </c>
      <c r="D3362" s="1">
        <v>136658</v>
      </c>
    </row>
    <row r="3363" spans="1:4" x14ac:dyDescent="0.25">
      <c r="A3363" s="2">
        <v>40210</v>
      </c>
      <c r="B3363" s="1" t="s">
        <v>21</v>
      </c>
      <c r="C3363" s="1">
        <v>0</v>
      </c>
      <c r="D3363" s="1">
        <v>141056</v>
      </c>
    </row>
    <row r="3364" spans="1:4" x14ac:dyDescent="0.25">
      <c r="A3364" s="2">
        <v>40238</v>
      </c>
      <c r="B3364" s="1" t="s">
        <v>21</v>
      </c>
      <c r="C3364" s="1">
        <v>0</v>
      </c>
      <c r="D3364" s="1">
        <v>142772</v>
      </c>
    </row>
    <row r="3365" spans="1:4" x14ac:dyDescent="0.25">
      <c r="A3365" s="2">
        <v>40269</v>
      </c>
      <c r="B3365" s="1" t="s">
        <v>21</v>
      </c>
      <c r="C3365" s="1">
        <v>0</v>
      </c>
      <c r="D3365" s="1">
        <v>146075</v>
      </c>
    </row>
    <row r="3366" spans="1:4" x14ac:dyDescent="0.25">
      <c r="A3366" s="2">
        <v>40299</v>
      </c>
      <c r="B3366" s="1" t="s">
        <v>21</v>
      </c>
      <c r="C3366" s="1">
        <v>0</v>
      </c>
      <c r="D3366" s="1">
        <v>152118</v>
      </c>
    </row>
    <row r="3367" spans="1:4" x14ac:dyDescent="0.25">
      <c r="A3367" s="2">
        <v>40330</v>
      </c>
      <c r="B3367" s="1" t="s">
        <v>21</v>
      </c>
      <c r="C3367" s="1">
        <v>0</v>
      </c>
      <c r="D3367" s="1">
        <v>154136</v>
      </c>
    </row>
    <row r="3368" spans="1:4" x14ac:dyDescent="0.25">
      <c r="A3368" s="2">
        <v>40360</v>
      </c>
      <c r="B3368" s="1" t="s">
        <v>21</v>
      </c>
      <c r="C3368" s="1">
        <v>0</v>
      </c>
      <c r="D3368" s="1">
        <v>160674</v>
      </c>
    </row>
    <row r="3369" spans="1:4" x14ac:dyDescent="0.25">
      <c r="A3369" s="2">
        <v>40391</v>
      </c>
      <c r="B3369" s="1" t="s">
        <v>21</v>
      </c>
      <c r="C3369" s="1">
        <v>0</v>
      </c>
      <c r="D3369" s="1">
        <v>166107</v>
      </c>
    </row>
    <row r="3370" spans="1:4" x14ac:dyDescent="0.25">
      <c r="A3370" s="2">
        <v>40422</v>
      </c>
      <c r="B3370" s="1" t="s">
        <v>21</v>
      </c>
      <c r="C3370" s="1">
        <v>0</v>
      </c>
      <c r="D3370" s="1">
        <v>169972</v>
      </c>
    </row>
    <row r="3371" spans="1:4" x14ac:dyDescent="0.25">
      <c r="A3371" s="2">
        <v>40452</v>
      </c>
      <c r="B3371" s="1" t="s">
        <v>21</v>
      </c>
      <c r="C3371" s="1">
        <v>0</v>
      </c>
      <c r="D3371" s="1">
        <v>174302</v>
      </c>
    </row>
    <row r="3372" spans="1:4" x14ac:dyDescent="0.25">
      <c r="A3372" s="2">
        <v>40483</v>
      </c>
      <c r="B3372" s="1" t="s">
        <v>21</v>
      </c>
      <c r="C3372" s="1">
        <v>0</v>
      </c>
      <c r="D3372" s="1">
        <v>182422</v>
      </c>
    </row>
    <row r="3373" spans="1:4" x14ac:dyDescent="0.25">
      <c r="A3373" s="2">
        <v>40513</v>
      </c>
      <c r="B3373" s="1" t="s">
        <v>21</v>
      </c>
      <c r="C3373" s="1">
        <v>0</v>
      </c>
      <c r="D3373" s="1">
        <v>191881</v>
      </c>
    </row>
    <row r="3374" spans="1:4" x14ac:dyDescent="0.25">
      <c r="A3374" s="2">
        <v>40544</v>
      </c>
      <c r="B3374" s="1" t="s">
        <v>21</v>
      </c>
      <c r="C3374" s="1">
        <v>0</v>
      </c>
      <c r="D3374" s="1">
        <v>197327</v>
      </c>
    </row>
    <row r="3375" spans="1:4" x14ac:dyDescent="0.25">
      <c r="A3375" s="2">
        <v>40575</v>
      </c>
      <c r="B3375" s="1" t="s">
        <v>21</v>
      </c>
      <c r="C3375" s="1">
        <v>0</v>
      </c>
      <c r="D3375" s="1">
        <v>186793</v>
      </c>
    </row>
    <row r="3376" spans="1:4" x14ac:dyDescent="0.25">
      <c r="A3376" s="2">
        <v>40603</v>
      </c>
      <c r="B3376" s="1" t="s">
        <v>21</v>
      </c>
      <c r="C3376" s="1">
        <v>0</v>
      </c>
      <c r="D3376" s="1">
        <v>203143</v>
      </c>
    </row>
    <row r="3377" spans="1:4" x14ac:dyDescent="0.25">
      <c r="A3377" s="2">
        <v>40634</v>
      </c>
      <c r="B3377" s="1" t="s">
        <v>21</v>
      </c>
      <c r="C3377" s="1">
        <v>0</v>
      </c>
      <c r="D3377" s="1">
        <v>206282</v>
      </c>
    </row>
    <row r="3378" spans="1:4" x14ac:dyDescent="0.25">
      <c r="A3378" s="2">
        <v>40664</v>
      </c>
      <c r="B3378" s="1" t="s">
        <v>21</v>
      </c>
      <c r="C3378" s="1">
        <v>0</v>
      </c>
      <c r="D3378" s="1">
        <v>214004</v>
      </c>
    </row>
    <row r="3379" spans="1:4" x14ac:dyDescent="0.25">
      <c r="A3379" s="2">
        <v>40695</v>
      </c>
      <c r="B3379" s="1" t="s">
        <v>21</v>
      </c>
      <c r="C3379" s="1">
        <v>0</v>
      </c>
      <c r="D3379" s="1">
        <v>217039</v>
      </c>
    </row>
    <row r="3380" spans="1:4" x14ac:dyDescent="0.25">
      <c r="A3380" s="2">
        <v>40725</v>
      </c>
      <c r="B3380" s="1" t="s">
        <v>21</v>
      </c>
      <c r="C3380" s="1">
        <v>0</v>
      </c>
      <c r="D3380" s="1">
        <v>222720</v>
      </c>
    </row>
    <row r="3381" spans="1:4" x14ac:dyDescent="0.25">
      <c r="A3381" s="2">
        <v>40756</v>
      </c>
      <c r="B3381" s="1" t="s">
        <v>21</v>
      </c>
      <c r="C3381" s="1">
        <v>0</v>
      </c>
      <c r="D3381" s="1">
        <v>227927</v>
      </c>
    </row>
    <row r="3382" spans="1:4" x14ac:dyDescent="0.25">
      <c r="A3382" s="2">
        <v>40787</v>
      </c>
      <c r="B3382" s="1" t="s">
        <v>21</v>
      </c>
      <c r="C3382" s="1">
        <v>0</v>
      </c>
      <c r="D3382" s="1">
        <v>235905</v>
      </c>
    </row>
    <row r="3383" spans="1:4" x14ac:dyDescent="0.25">
      <c r="A3383" s="2">
        <v>40817</v>
      </c>
      <c r="B3383" s="1" t="s">
        <v>21</v>
      </c>
      <c r="C3383" s="1">
        <v>0</v>
      </c>
      <c r="D3383" s="1">
        <v>247864</v>
      </c>
    </row>
    <row r="3384" spans="1:4" x14ac:dyDescent="0.25">
      <c r="A3384" s="2">
        <v>40848</v>
      </c>
      <c r="B3384" s="1" t="s">
        <v>21</v>
      </c>
      <c r="C3384" s="1">
        <v>0</v>
      </c>
      <c r="D3384" s="1">
        <v>257485.00000000003</v>
      </c>
    </row>
    <row r="3385" spans="1:4" x14ac:dyDescent="0.25">
      <c r="A3385" s="2">
        <v>40878</v>
      </c>
      <c r="B3385" s="1" t="s">
        <v>21</v>
      </c>
      <c r="C3385" s="1">
        <v>0</v>
      </c>
      <c r="D3385" s="1">
        <v>260153.00000000003</v>
      </c>
    </row>
    <row r="3386" spans="1:4" x14ac:dyDescent="0.25">
      <c r="A3386" s="2">
        <v>40909</v>
      </c>
      <c r="B3386" s="1" t="s">
        <v>21</v>
      </c>
      <c r="C3386" s="1">
        <v>0</v>
      </c>
      <c r="D3386" s="1">
        <v>265986</v>
      </c>
    </row>
    <row r="3387" spans="1:4" x14ac:dyDescent="0.25">
      <c r="A3387" s="2">
        <v>40940</v>
      </c>
      <c r="B3387" s="1" t="s">
        <v>21</v>
      </c>
      <c r="C3387" s="1">
        <v>0</v>
      </c>
      <c r="D3387" s="1">
        <v>275062</v>
      </c>
    </row>
    <row r="3388" spans="1:4" x14ac:dyDescent="0.25">
      <c r="A3388" s="2">
        <v>40969</v>
      </c>
      <c r="B3388" s="1" t="s">
        <v>21</v>
      </c>
      <c r="C3388" s="1">
        <v>0</v>
      </c>
      <c r="D3388" s="1">
        <v>280593</v>
      </c>
    </row>
    <row r="3389" spans="1:4" x14ac:dyDescent="0.25">
      <c r="A3389" s="2">
        <v>41000</v>
      </c>
      <c r="B3389" s="1" t="s">
        <v>21</v>
      </c>
      <c r="C3389" s="1">
        <v>0</v>
      </c>
      <c r="D3389" s="1">
        <v>290741</v>
      </c>
    </row>
    <row r="3390" spans="1:4" x14ac:dyDescent="0.25">
      <c r="A3390" s="2">
        <v>41030</v>
      </c>
      <c r="B3390" s="1" t="s">
        <v>21</v>
      </c>
      <c r="C3390" s="1">
        <v>0</v>
      </c>
      <c r="D3390" s="1">
        <v>292945</v>
      </c>
    </row>
    <row r="3391" spans="1:4" x14ac:dyDescent="0.25">
      <c r="A3391" s="2">
        <v>41061</v>
      </c>
      <c r="B3391" s="1" t="s">
        <v>21</v>
      </c>
      <c r="C3391" s="1">
        <v>0</v>
      </c>
      <c r="D3391" s="1">
        <v>296698</v>
      </c>
    </row>
    <row r="3392" spans="1:4" x14ac:dyDescent="0.25">
      <c r="A3392" s="2">
        <v>41091</v>
      </c>
      <c r="B3392" s="1" t="s">
        <v>21</v>
      </c>
      <c r="C3392" s="1">
        <v>0</v>
      </c>
      <c r="D3392" s="1">
        <v>304946</v>
      </c>
    </row>
    <row r="3393" spans="1:4" x14ac:dyDescent="0.25">
      <c r="A3393" s="2">
        <v>41122</v>
      </c>
      <c r="B3393" s="1" t="s">
        <v>21</v>
      </c>
      <c r="C3393" s="1">
        <v>0</v>
      </c>
      <c r="D3393" s="1">
        <v>310242</v>
      </c>
    </row>
    <row r="3394" spans="1:4" x14ac:dyDescent="0.25">
      <c r="A3394" s="2">
        <v>41153</v>
      </c>
      <c r="B3394" s="1" t="s">
        <v>21</v>
      </c>
      <c r="C3394" s="1">
        <v>0</v>
      </c>
      <c r="D3394" s="1">
        <v>319697</v>
      </c>
    </row>
    <row r="3395" spans="1:4" x14ac:dyDescent="0.25">
      <c r="A3395" s="2">
        <v>41183</v>
      </c>
      <c r="B3395" s="1" t="s">
        <v>21</v>
      </c>
      <c r="C3395" s="1">
        <v>0</v>
      </c>
      <c r="D3395" s="1">
        <v>331706</v>
      </c>
    </row>
    <row r="3396" spans="1:4" x14ac:dyDescent="0.25">
      <c r="A3396" s="2">
        <v>41214</v>
      </c>
      <c r="B3396" s="1" t="s">
        <v>21</v>
      </c>
      <c r="C3396" s="1">
        <v>0</v>
      </c>
      <c r="D3396" s="1">
        <v>333701</v>
      </c>
    </row>
    <row r="3397" spans="1:4" x14ac:dyDescent="0.25">
      <c r="A3397" s="2">
        <v>41244</v>
      </c>
      <c r="B3397" s="1" t="s">
        <v>21</v>
      </c>
      <c r="C3397" s="1">
        <v>0</v>
      </c>
      <c r="D3397" s="1">
        <v>338393</v>
      </c>
    </row>
    <row r="3398" spans="1:4" x14ac:dyDescent="0.25">
      <c r="A3398" s="2">
        <v>41275</v>
      </c>
      <c r="B3398" s="1" t="s">
        <v>21</v>
      </c>
      <c r="C3398" s="1">
        <v>0</v>
      </c>
      <c r="D3398" s="1">
        <v>339377</v>
      </c>
    </row>
    <row r="3399" spans="1:4" x14ac:dyDescent="0.25">
      <c r="A3399" s="2">
        <v>41306</v>
      </c>
      <c r="B3399" s="1" t="s">
        <v>21</v>
      </c>
      <c r="C3399" s="1">
        <v>0</v>
      </c>
      <c r="D3399" s="1">
        <v>343954</v>
      </c>
    </row>
    <row r="3400" spans="1:4" x14ac:dyDescent="0.25">
      <c r="A3400" s="2">
        <v>41334</v>
      </c>
      <c r="B3400" s="1" t="s">
        <v>21</v>
      </c>
      <c r="C3400" s="1">
        <v>0</v>
      </c>
      <c r="D3400" s="1">
        <v>347421</v>
      </c>
    </row>
    <row r="3401" spans="1:4" x14ac:dyDescent="0.25">
      <c r="A3401" s="2">
        <v>41365</v>
      </c>
      <c r="B3401" s="1" t="s">
        <v>21</v>
      </c>
      <c r="C3401" s="1">
        <v>0</v>
      </c>
      <c r="D3401" s="1">
        <v>349534</v>
      </c>
    </row>
    <row r="3402" spans="1:4" x14ac:dyDescent="0.25">
      <c r="A3402" s="2">
        <v>41395</v>
      </c>
      <c r="B3402" s="1" t="s">
        <v>21</v>
      </c>
      <c r="C3402" s="1">
        <v>0</v>
      </c>
      <c r="D3402" s="1">
        <v>356704</v>
      </c>
    </row>
    <row r="3403" spans="1:4" x14ac:dyDescent="0.25">
      <c r="A3403" s="2">
        <v>41426</v>
      </c>
      <c r="B3403" s="1" t="s">
        <v>21</v>
      </c>
      <c r="C3403" s="1">
        <v>0</v>
      </c>
      <c r="D3403" s="1">
        <v>355998</v>
      </c>
    </row>
    <row r="3404" spans="1:4" x14ac:dyDescent="0.25">
      <c r="A3404" s="2">
        <v>41456</v>
      </c>
      <c r="B3404" s="1" t="s">
        <v>21</v>
      </c>
      <c r="C3404" s="1">
        <v>0</v>
      </c>
      <c r="D3404" s="1">
        <v>363841</v>
      </c>
    </row>
    <row r="3405" spans="1:4" x14ac:dyDescent="0.25">
      <c r="A3405" s="2">
        <v>41487</v>
      </c>
      <c r="B3405" s="1" t="s">
        <v>21</v>
      </c>
      <c r="C3405" s="1">
        <v>0</v>
      </c>
      <c r="D3405" s="1">
        <v>367053</v>
      </c>
    </row>
    <row r="3406" spans="1:4" x14ac:dyDescent="0.25">
      <c r="A3406" s="2">
        <v>41518</v>
      </c>
      <c r="B3406" s="1" t="s">
        <v>21</v>
      </c>
      <c r="C3406" s="1">
        <v>0</v>
      </c>
      <c r="D3406" s="1">
        <v>373649</v>
      </c>
    </row>
    <row r="3407" spans="1:4" x14ac:dyDescent="0.25">
      <c r="A3407" s="2">
        <v>41548</v>
      </c>
      <c r="B3407" s="1" t="s">
        <v>21</v>
      </c>
      <c r="C3407" s="1">
        <v>0</v>
      </c>
      <c r="D3407" s="1">
        <v>386133</v>
      </c>
    </row>
    <row r="3408" spans="1:4" x14ac:dyDescent="0.25">
      <c r="A3408" s="2">
        <v>41579</v>
      </c>
      <c r="B3408" s="1" t="s">
        <v>21</v>
      </c>
      <c r="C3408" s="1">
        <v>0</v>
      </c>
      <c r="D3408" s="1">
        <v>380954</v>
      </c>
    </row>
    <row r="3409" spans="1:4" x14ac:dyDescent="0.25">
      <c r="A3409" s="2">
        <v>41609</v>
      </c>
      <c r="B3409" s="1" t="s">
        <v>21</v>
      </c>
      <c r="C3409" s="1">
        <v>0</v>
      </c>
      <c r="D3409" s="1">
        <v>396748</v>
      </c>
    </row>
    <row r="3410" spans="1:4" x14ac:dyDescent="0.25">
      <c r="A3410" s="2">
        <v>41640</v>
      </c>
      <c r="B3410" s="1" t="s">
        <v>21</v>
      </c>
      <c r="C3410" s="1">
        <v>0</v>
      </c>
      <c r="D3410" s="1">
        <v>413204</v>
      </c>
    </row>
    <row r="3411" spans="1:4" x14ac:dyDescent="0.25">
      <c r="A3411" s="2">
        <v>41671</v>
      </c>
      <c r="B3411" s="1" t="s">
        <v>21</v>
      </c>
      <c r="C3411" s="1">
        <v>0</v>
      </c>
      <c r="D3411" s="1">
        <v>422138</v>
      </c>
    </row>
    <row r="3412" spans="1:4" x14ac:dyDescent="0.25">
      <c r="A3412" s="2">
        <v>41699</v>
      </c>
      <c r="B3412" s="1" t="s">
        <v>21</v>
      </c>
      <c r="C3412" s="1">
        <v>0</v>
      </c>
      <c r="D3412" s="1">
        <v>432791</v>
      </c>
    </row>
    <row r="3413" spans="1:4" x14ac:dyDescent="0.25">
      <c r="A3413" s="2">
        <v>41730</v>
      </c>
      <c r="B3413" s="1" t="s">
        <v>21</v>
      </c>
      <c r="C3413" s="1">
        <v>0</v>
      </c>
      <c r="D3413" s="1">
        <v>436683</v>
      </c>
    </row>
    <row r="3414" spans="1:4" x14ac:dyDescent="0.25">
      <c r="A3414" s="2">
        <v>41760</v>
      </c>
      <c r="B3414" s="1" t="s">
        <v>21</v>
      </c>
      <c r="C3414" s="1">
        <v>0</v>
      </c>
      <c r="D3414" s="1">
        <v>442629</v>
      </c>
    </row>
    <row r="3415" spans="1:4" x14ac:dyDescent="0.25">
      <c r="A3415" s="2">
        <v>41791</v>
      </c>
      <c r="B3415" s="1" t="s">
        <v>21</v>
      </c>
      <c r="C3415" s="1">
        <v>0</v>
      </c>
      <c r="D3415" s="1">
        <v>449824</v>
      </c>
    </row>
    <row r="3416" spans="1:4" x14ac:dyDescent="0.25">
      <c r="A3416" s="2">
        <v>41821</v>
      </c>
      <c r="B3416" s="1" t="s">
        <v>21</v>
      </c>
      <c r="C3416" s="1">
        <v>0</v>
      </c>
      <c r="D3416" s="1">
        <v>469246</v>
      </c>
    </row>
    <row r="3417" spans="1:4" x14ac:dyDescent="0.25">
      <c r="A3417" s="2">
        <v>41852</v>
      </c>
      <c r="B3417" s="1" t="s">
        <v>21</v>
      </c>
      <c r="C3417" s="1">
        <v>0</v>
      </c>
      <c r="D3417" s="1">
        <v>490143</v>
      </c>
    </row>
    <row r="3418" spans="1:4" x14ac:dyDescent="0.25">
      <c r="A3418" s="2">
        <v>41883</v>
      </c>
      <c r="B3418" s="1" t="s">
        <v>21</v>
      </c>
      <c r="C3418" s="1">
        <v>0</v>
      </c>
      <c r="D3418" s="1">
        <v>502101</v>
      </c>
    </row>
    <row r="3419" spans="1:4" x14ac:dyDescent="0.25">
      <c r="A3419" s="2">
        <v>41913</v>
      </c>
      <c r="B3419" s="1" t="s">
        <v>21</v>
      </c>
      <c r="C3419" s="1">
        <v>0</v>
      </c>
      <c r="D3419" s="1">
        <v>517401</v>
      </c>
    </row>
    <row r="3420" spans="1:4" x14ac:dyDescent="0.25">
      <c r="A3420" s="2">
        <v>41944</v>
      </c>
      <c r="B3420" s="1" t="s">
        <v>21</v>
      </c>
      <c r="C3420" s="1">
        <v>0</v>
      </c>
      <c r="D3420" s="1">
        <v>515463</v>
      </c>
    </row>
    <row r="3421" spans="1:4" x14ac:dyDescent="0.25">
      <c r="A3421" s="2">
        <v>41974</v>
      </c>
      <c r="B3421" s="1" t="s">
        <v>21</v>
      </c>
      <c r="C3421" s="1">
        <v>0</v>
      </c>
      <c r="D3421" s="1">
        <v>519580.00000000006</v>
      </c>
    </row>
    <row r="3422" spans="1:4" x14ac:dyDescent="0.25">
      <c r="A3422" s="2">
        <v>36526</v>
      </c>
      <c r="B3422" s="1" t="s">
        <v>22</v>
      </c>
      <c r="C3422" s="1">
        <v>0</v>
      </c>
      <c r="D3422" s="1">
        <f>0.009375*(1000000)</f>
        <v>9375</v>
      </c>
    </row>
    <row r="3423" spans="1:4" x14ac:dyDescent="0.25">
      <c r="A3423" s="2">
        <v>36557</v>
      </c>
      <c r="B3423" s="1" t="s">
        <v>22</v>
      </c>
      <c r="C3423" s="1">
        <v>0</v>
      </c>
      <c r="D3423" s="1">
        <f>0.009166*(1000000)</f>
        <v>9166</v>
      </c>
    </row>
    <row r="3424" spans="1:4" x14ac:dyDescent="0.25">
      <c r="A3424" s="2">
        <v>36586</v>
      </c>
      <c r="B3424" s="1" t="s">
        <v>22</v>
      </c>
      <c r="C3424" s="1">
        <v>0</v>
      </c>
      <c r="D3424" s="1">
        <f>0.009016*(1000000)</f>
        <v>9016</v>
      </c>
    </row>
    <row r="3425" spans="1:4" x14ac:dyDescent="0.25">
      <c r="A3425" s="2">
        <v>36617</v>
      </c>
      <c r="B3425" s="1" t="s">
        <v>22</v>
      </c>
      <c r="C3425" s="1">
        <v>0</v>
      </c>
      <c r="D3425" s="1">
        <f>0.009936*(1000000)</f>
        <v>9936</v>
      </c>
    </row>
    <row r="3426" spans="1:4" x14ac:dyDescent="0.25">
      <c r="A3426" s="2">
        <v>36647</v>
      </c>
      <c r="B3426" s="1" t="s">
        <v>22</v>
      </c>
      <c r="C3426" s="1">
        <v>0</v>
      </c>
      <c r="D3426" s="1">
        <f>0.009459*(1000000)</f>
        <v>9459</v>
      </c>
    </row>
    <row r="3427" spans="1:4" x14ac:dyDescent="0.25">
      <c r="A3427" s="2">
        <v>36678</v>
      </c>
      <c r="B3427" s="1" t="s">
        <v>22</v>
      </c>
      <c r="C3427" s="1">
        <v>0</v>
      </c>
      <c r="D3427" s="1">
        <f>0.009176*(1000000)</f>
        <v>9176</v>
      </c>
    </row>
    <row r="3428" spans="1:4" x14ac:dyDescent="0.25">
      <c r="A3428" s="2">
        <v>36708</v>
      </c>
      <c r="B3428" s="1" t="s">
        <v>22</v>
      </c>
      <c r="C3428" s="1">
        <v>0</v>
      </c>
      <c r="D3428" s="1">
        <f>0.009782*(1000000)</f>
        <v>9782</v>
      </c>
    </row>
    <row r="3429" spans="1:4" x14ac:dyDescent="0.25">
      <c r="A3429" s="2">
        <v>36739</v>
      </c>
      <c r="B3429" s="1" t="s">
        <v>22</v>
      </c>
      <c r="C3429" s="1">
        <v>0</v>
      </c>
      <c r="D3429" s="1">
        <f>0.009201*(1000000)</f>
        <v>9201</v>
      </c>
    </row>
    <row r="3430" spans="1:4" x14ac:dyDescent="0.25">
      <c r="A3430" s="2">
        <v>36770</v>
      </c>
      <c r="B3430" s="1" t="s">
        <v>22</v>
      </c>
      <c r="C3430" s="1">
        <v>0</v>
      </c>
      <c r="D3430" s="1">
        <f>0.008953*(1000000)</f>
        <v>8953</v>
      </c>
    </row>
    <row r="3431" spans="1:4" x14ac:dyDescent="0.25">
      <c r="A3431" s="2">
        <v>36800</v>
      </c>
      <c r="B3431" s="1" t="s">
        <v>22</v>
      </c>
      <c r="C3431" s="1">
        <v>0</v>
      </c>
      <c r="D3431" s="1">
        <f>0.009594*(1000000)</f>
        <v>9594</v>
      </c>
    </row>
    <row r="3432" spans="1:4" x14ac:dyDescent="0.25">
      <c r="A3432" s="2">
        <v>36831</v>
      </c>
      <c r="B3432" s="1" t="s">
        <v>22</v>
      </c>
      <c r="C3432" s="1">
        <v>0</v>
      </c>
      <c r="D3432" s="1">
        <f>0.009404*(1000000)</f>
        <v>9404</v>
      </c>
    </row>
    <row r="3433" spans="1:4" x14ac:dyDescent="0.25">
      <c r="A3433" s="2">
        <v>36861</v>
      </c>
      <c r="B3433" s="1" t="s">
        <v>22</v>
      </c>
      <c r="C3433" s="1">
        <v>0</v>
      </c>
      <c r="D3433" s="1">
        <f>0.009543*(1000000)</f>
        <v>9543</v>
      </c>
    </row>
    <row r="3434" spans="1:4" x14ac:dyDescent="0.25">
      <c r="A3434" s="2">
        <v>36892</v>
      </c>
      <c r="B3434" s="1" t="s">
        <v>22</v>
      </c>
      <c r="C3434" s="1">
        <v>0</v>
      </c>
      <c r="D3434" s="1">
        <f>0.009401*(1000000)</f>
        <v>9401</v>
      </c>
    </row>
    <row r="3435" spans="1:4" x14ac:dyDescent="0.25">
      <c r="A3435" s="2">
        <v>36923</v>
      </c>
      <c r="B3435" s="1" t="s">
        <v>22</v>
      </c>
      <c r="C3435" s="1">
        <v>0</v>
      </c>
      <c r="D3435" s="1">
        <f>0.009395*(1000000)</f>
        <v>9395</v>
      </c>
    </row>
    <row r="3436" spans="1:4" x14ac:dyDescent="0.25">
      <c r="A3436" s="2">
        <v>36951</v>
      </c>
      <c r="B3436" s="1" t="s">
        <v>22</v>
      </c>
      <c r="C3436" s="1">
        <v>0</v>
      </c>
      <c r="D3436" s="1">
        <f>0.009257*(1000000)</f>
        <v>9257</v>
      </c>
    </row>
    <row r="3437" spans="1:4" x14ac:dyDescent="0.25">
      <c r="A3437" s="2">
        <v>36982</v>
      </c>
      <c r="B3437" s="1" t="s">
        <v>22</v>
      </c>
      <c r="C3437" s="1">
        <v>0</v>
      </c>
      <c r="D3437" s="1">
        <f>0.009692*(1000000)</f>
        <v>9692</v>
      </c>
    </row>
    <row r="3438" spans="1:4" x14ac:dyDescent="0.25">
      <c r="A3438" s="2">
        <v>37012</v>
      </c>
      <c r="B3438" s="1" t="s">
        <v>22</v>
      </c>
      <c r="C3438" s="1">
        <v>0</v>
      </c>
      <c r="D3438" s="1">
        <f>0.009536*(1000000)</f>
        <v>9536</v>
      </c>
    </row>
    <row r="3439" spans="1:4" x14ac:dyDescent="0.25">
      <c r="A3439" s="2">
        <v>37043</v>
      </c>
      <c r="B3439" s="1" t="s">
        <v>22</v>
      </c>
      <c r="C3439" s="1">
        <v>0</v>
      </c>
      <c r="D3439" s="1">
        <f>0.009229*(1000000)</f>
        <v>9229</v>
      </c>
    </row>
    <row r="3440" spans="1:4" x14ac:dyDescent="0.25">
      <c r="A3440" s="2">
        <v>37073</v>
      </c>
      <c r="B3440" s="1" t="s">
        <v>22</v>
      </c>
      <c r="C3440" s="1">
        <v>0</v>
      </c>
      <c r="D3440" s="1">
        <f>0.009368*(1000000)</f>
        <v>9368</v>
      </c>
    </row>
    <row r="3441" spans="1:4" x14ac:dyDescent="0.25">
      <c r="A3441" s="2">
        <v>37104</v>
      </c>
      <c r="B3441" s="1" t="s">
        <v>22</v>
      </c>
      <c r="C3441" s="1">
        <v>0</v>
      </c>
      <c r="D3441" s="1">
        <f>0.010026*(1000000)</f>
        <v>10026</v>
      </c>
    </row>
    <row r="3442" spans="1:4" x14ac:dyDescent="0.25">
      <c r="A3442" s="2">
        <v>37135</v>
      </c>
      <c r="B3442" s="1" t="s">
        <v>22</v>
      </c>
      <c r="C3442" s="1">
        <v>0</v>
      </c>
      <c r="D3442" s="1">
        <f>0.010118*(1000000)</f>
        <v>10118</v>
      </c>
    </row>
    <row r="3443" spans="1:4" x14ac:dyDescent="0.25">
      <c r="A3443" s="2">
        <v>37165</v>
      </c>
      <c r="B3443" s="1" t="s">
        <v>22</v>
      </c>
      <c r="C3443" s="1">
        <v>0</v>
      </c>
      <c r="D3443" s="1">
        <f>0.009784*(1000000)</f>
        <v>9784</v>
      </c>
    </row>
    <row r="3444" spans="1:4" x14ac:dyDescent="0.25">
      <c r="A3444" s="2">
        <v>37196</v>
      </c>
      <c r="B3444" s="1" t="s">
        <v>22</v>
      </c>
      <c r="C3444" s="1">
        <v>0</v>
      </c>
      <c r="D3444" s="1">
        <f>0.009247*(1000000)</f>
        <v>9247</v>
      </c>
    </row>
    <row r="3445" spans="1:4" x14ac:dyDescent="0.25">
      <c r="A3445" s="2">
        <v>37226</v>
      </c>
      <c r="B3445" s="1" t="s">
        <v>22</v>
      </c>
      <c r="C3445" s="1">
        <v>0</v>
      </c>
      <c r="D3445" s="1">
        <f>0.009043*(1000000)</f>
        <v>9043</v>
      </c>
    </row>
    <row r="3446" spans="1:4" x14ac:dyDescent="0.25">
      <c r="A3446" s="2">
        <v>37257</v>
      </c>
      <c r="B3446" s="1" t="s">
        <v>22</v>
      </c>
      <c r="C3446" s="1">
        <v>0</v>
      </c>
      <c r="D3446" s="1">
        <f>0.008909*(1000000)</f>
        <v>8909</v>
      </c>
    </row>
    <row r="3447" spans="1:4" x14ac:dyDescent="0.25">
      <c r="A3447" s="2">
        <v>37288</v>
      </c>
      <c r="B3447" s="1" t="s">
        <v>22</v>
      </c>
      <c r="C3447" s="1">
        <v>0</v>
      </c>
      <c r="D3447" s="1">
        <f>0.008985*(1000000)</f>
        <v>8985</v>
      </c>
    </row>
    <row r="3448" spans="1:4" x14ac:dyDescent="0.25">
      <c r="A3448" s="2">
        <v>37316</v>
      </c>
      <c r="B3448" s="1" t="s">
        <v>22</v>
      </c>
      <c r="C3448" s="1">
        <v>0</v>
      </c>
      <c r="D3448" s="1">
        <f>0.008641*(1000000)</f>
        <v>8641</v>
      </c>
    </row>
    <row r="3449" spans="1:4" x14ac:dyDescent="0.25">
      <c r="A3449" s="2">
        <v>37347</v>
      </c>
      <c r="B3449" s="1" t="s">
        <v>22</v>
      </c>
      <c r="C3449" s="1">
        <v>0</v>
      </c>
      <c r="D3449" s="1">
        <f>0.008991*(1000000)</f>
        <v>8991</v>
      </c>
    </row>
    <row r="3450" spans="1:4" x14ac:dyDescent="0.25">
      <c r="A3450" s="2">
        <v>37377</v>
      </c>
      <c r="B3450" s="1" t="s">
        <v>22</v>
      </c>
      <c r="C3450" s="1">
        <v>0</v>
      </c>
      <c r="D3450" s="1">
        <f>0.008637*(1000000)</f>
        <v>8637</v>
      </c>
    </row>
    <row r="3451" spans="1:4" x14ac:dyDescent="0.25">
      <c r="A3451" s="2">
        <v>37408</v>
      </c>
      <c r="B3451" s="1" t="s">
        <v>22</v>
      </c>
      <c r="C3451" s="1">
        <v>0</v>
      </c>
      <c r="D3451" s="1">
        <f>0.008326*(1000000)</f>
        <v>8326</v>
      </c>
    </row>
    <row r="3452" spans="1:4" x14ac:dyDescent="0.25">
      <c r="A3452" s="2">
        <v>37438</v>
      </c>
      <c r="B3452" s="1" t="s">
        <v>22</v>
      </c>
      <c r="C3452" s="1">
        <v>0</v>
      </c>
      <c r="D3452" s="1">
        <f>0.008152*(1000000)</f>
        <v>8151.9999999999991</v>
      </c>
    </row>
    <row r="3453" spans="1:4" x14ac:dyDescent="0.25">
      <c r="A3453" s="2">
        <v>37469</v>
      </c>
      <c r="B3453" s="1" t="s">
        <v>22</v>
      </c>
      <c r="C3453" s="1">
        <v>0</v>
      </c>
      <c r="D3453" s="1">
        <f>0.00779*(1000000)</f>
        <v>7790</v>
      </c>
    </row>
    <row r="3454" spans="1:4" x14ac:dyDescent="0.25">
      <c r="A3454" s="2">
        <v>37500</v>
      </c>
      <c r="B3454" s="1" t="s">
        <v>22</v>
      </c>
      <c r="C3454" s="1">
        <v>0</v>
      </c>
      <c r="D3454" s="1">
        <f>0.008157*(1000000)</f>
        <v>8156.9999999999991</v>
      </c>
    </row>
    <row r="3455" spans="1:4" x14ac:dyDescent="0.25">
      <c r="A3455" s="2">
        <v>37530</v>
      </c>
      <c r="B3455" s="1" t="s">
        <v>22</v>
      </c>
      <c r="C3455" s="1">
        <v>0</v>
      </c>
      <c r="D3455" s="1">
        <f>0.008051*(1000000)</f>
        <v>8051.0000000000009</v>
      </c>
    </row>
    <row r="3456" spans="1:4" x14ac:dyDescent="0.25">
      <c r="A3456" s="2">
        <v>37561</v>
      </c>
      <c r="B3456" s="1" t="s">
        <v>22</v>
      </c>
      <c r="C3456" s="1">
        <v>0</v>
      </c>
      <c r="D3456" s="1">
        <f>0.008036*(1000000)</f>
        <v>8036</v>
      </c>
    </row>
    <row r="3457" spans="1:4" x14ac:dyDescent="0.25">
      <c r="A3457" s="2">
        <v>37591</v>
      </c>
      <c r="B3457" s="1" t="s">
        <v>22</v>
      </c>
      <c r="C3457" s="1">
        <v>0</v>
      </c>
      <c r="D3457" s="1">
        <f>0.007543*(1000000)</f>
        <v>7543</v>
      </c>
    </row>
    <row r="3458" spans="1:4" x14ac:dyDescent="0.25">
      <c r="A3458" s="2">
        <v>37622</v>
      </c>
      <c r="B3458" s="1" t="s">
        <v>22</v>
      </c>
      <c r="C3458" s="1">
        <v>0</v>
      </c>
      <c r="D3458" s="1">
        <f>0.007525*(1000000)</f>
        <v>7525</v>
      </c>
    </row>
    <row r="3459" spans="1:4" x14ac:dyDescent="0.25">
      <c r="A3459" s="2">
        <v>37653</v>
      </c>
      <c r="B3459" s="1" t="s">
        <v>22</v>
      </c>
      <c r="C3459" s="1">
        <v>0</v>
      </c>
      <c r="D3459" s="1">
        <f>0.007408*(1000000)</f>
        <v>7408</v>
      </c>
    </row>
    <row r="3460" spans="1:4" x14ac:dyDescent="0.25">
      <c r="A3460" s="2">
        <v>37681</v>
      </c>
      <c r="B3460" s="1" t="s">
        <v>22</v>
      </c>
      <c r="C3460" s="1">
        <v>0</v>
      </c>
      <c r="D3460" s="1">
        <f>0.008009*(1000000)</f>
        <v>8009.0000000000009</v>
      </c>
    </row>
    <row r="3461" spans="1:4" x14ac:dyDescent="0.25">
      <c r="A3461" s="2">
        <v>37712</v>
      </c>
      <c r="B3461" s="1" t="s">
        <v>22</v>
      </c>
      <c r="C3461" s="1">
        <v>0</v>
      </c>
      <c r="D3461" s="1">
        <f>0.008986*(1000000)</f>
        <v>8986</v>
      </c>
    </row>
    <row r="3462" spans="1:4" x14ac:dyDescent="0.25">
      <c r="A3462" s="2">
        <v>37742</v>
      </c>
      <c r="B3462" s="1" t="s">
        <v>22</v>
      </c>
      <c r="C3462" s="1">
        <v>0</v>
      </c>
      <c r="D3462" s="1">
        <f>0.008652*(1000000)</f>
        <v>8652</v>
      </c>
    </row>
    <row r="3463" spans="1:4" x14ac:dyDescent="0.25">
      <c r="A3463" s="2">
        <v>37773</v>
      </c>
      <c r="B3463" s="1" t="s">
        <v>22</v>
      </c>
      <c r="C3463" s="1">
        <v>0</v>
      </c>
      <c r="D3463" s="1">
        <f>0.008599*(1000000)</f>
        <v>8599</v>
      </c>
    </row>
    <row r="3464" spans="1:4" x14ac:dyDescent="0.25">
      <c r="A3464" s="2">
        <v>37803</v>
      </c>
      <c r="B3464" s="1" t="s">
        <v>22</v>
      </c>
      <c r="C3464" s="1">
        <v>0</v>
      </c>
      <c r="D3464" s="1">
        <f>0.009117*(1000000)</f>
        <v>9117</v>
      </c>
    </row>
    <row r="3465" spans="1:4" x14ac:dyDescent="0.25">
      <c r="A3465" s="2">
        <v>37834</v>
      </c>
      <c r="B3465" s="1" t="s">
        <v>22</v>
      </c>
      <c r="C3465" s="1">
        <v>0</v>
      </c>
      <c r="D3465" s="1">
        <f>0.008619*(1000000)</f>
        <v>8619</v>
      </c>
    </row>
    <row r="3466" spans="1:4" x14ac:dyDescent="0.25">
      <c r="A3466" s="2">
        <v>37865</v>
      </c>
      <c r="B3466" s="1" t="s">
        <v>22</v>
      </c>
      <c r="C3466" s="1">
        <v>0</v>
      </c>
      <c r="D3466" s="1">
        <f>0.008794*(1000000)</f>
        <v>8794</v>
      </c>
    </row>
    <row r="3467" spans="1:4" x14ac:dyDescent="0.25">
      <c r="A3467" s="2">
        <v>37895</v>
      </c>
      <c r="B3467" s="1" t="s">
        <v>22</v>
      </c>
      <c r="C3467" s="1">
        <v>0</v>
      </c>
      <c r="D3467" s="1">
        <f>0.009281*(1000000)</f>
        <v>9281</v>
      </c>
    </row>
    <row r="3468" spans="1:4" x14ac:dyDescent="0.25">
      <c r="A3468" s="2">
        <v>37926</v>
      </c>
      <c r="B3468" s="1" t="s">
        <v>22</v>
      </c>
      <c r="C3468" s="1">
        <v>0</v>
      </c>
      <c r="D3468" s="1">
        <f>0.010217*(1000000)</f>
        <v>10217</v>
      </c>
    </row>
    <row r="3469" spans="1:4" x14ac:dyDescent="0.25">
      <c r="A3469" s="2">
        <v>37956</v>
      </c>
      <c r="B3469" s="1" t="s">
        <v>22</v>
      </c>
      <c r="C3469" s="1">
        <v>0</v>
      </c>
      <c r="D3469" s="1">
        <f>0.009268*(1000000)</f>
        <v>9268</v>
      </c>
    </row>
    <row r="3470" spans="1:4" x14ac:dyDescent="0.25">
      <c r="A3470" s="2">
        <v>37987</v>
      </c>
      <c r="B3470" s="1" t="s">
        <v>22</v>
      </c>
      <c r="C3470" s="1">
        <v>0</v>
      </c>
      <c r="D3470" s="1">
        <f>0.009782*(1000000)</f>
        <v>9782</v>
      </c>
    </row>
    <row r="3471" spans="1:4" x14ac:dyDescent="0.25">
      <c r="A3471" s="2">
        <v>38018</v>
      </c>
      <c r="B3471" s="1" t="s">
        <v>22</v>
      </c>
      <c r="C3471" s="1">
        <v>0</v>
      </c>
      <c r="D3471" s="1">
        <f>0.009527*(1000000)</f>
        <v>9527</v>
      </c>
    </row>
    <row r="3472" spans="1:4" x14ac:dyDescent="0.25">
      <c r="A3472" s="2">
        <v>38047</v>
      </c>
      <c r="B3472" s="1" t="s">
        <v>22</v>
      </c>
      <c r="C3472" s="1">
        <v>0</v>
      </c>
      <c r="D3472" s="1">
        <f>0.009506*(1000000)</f>
        <v>9506</v>
      </c>
    </row>
    <row r="3473" spans="1:4" x14ac:dyDescent="0.25">
      <c r="A3473" s="2">
        <v>38078</v>
      </c>
      <c r="B3473" s="1" t="s">
        <v>22</v>
      </c>
      <c r="C3473" s="1">
        <v>0</v>
      </c>
      <c r="D3473" s="1">
        <f>0.009789*(1000000)</f>
        <v>9789</v>
      </c>
    </row>
    <row r="3474" spans="1:4" x14ac:dyDescent="0.25">
      <c r="A3474" s="2">
        <v>38108</v>
      </c>
      <c r="B3474" s="1" t="s">
        <v>22</v>
      </c>
      <c r="C3474" s="1">
        <v>0</v>
      </c>
      <c r="D3474" s="1">
        <f>0.009974*(1000000)</f>
        <v>9974</v>
      </c>
    </row>
    <row r="3475" spans="1:4" x14ac:dyDescent="0.25">
      <c r="A3475" s="2">
        <v>38139</v>
      </c>
      <c r="B3475" s="1" t="s">
        <v>22</v>
      </c>
      <c r="C3475" s="1">
        <v>0</v>
      </c>
      <c r="D3475" s="1">
        <f>0.009736*(1000000)</f>
        <v>9736</v>
      </c>
    </row>
    <row r="3476" spans="1:4" x14ac:dyDescent="0.25">
      <c r="A3476" s="2">
        <v>38169</v>
      </c>
      <c r="B3476" s="1" t="s">
        <v>22</v>
      </c>
      <c r="C3476" s="1">
        <v>0</v>
      </c>
      <c r="D3476" s="1">
        <f>0.009659*(1000000)</f>
        <v>9659</v>
      </c>
    </row>
    <row r="3477" spans="1:4" x14ac:dyDescent="0.25">
      <c r="A3477" s="2">
        <v>38200</v>
      </c>
      <c r="B3477" s="1" t="s">
        <v>22</v>
      </c>
      <c r="C3477" s="1">
        <v>0</v>
      </c>
      <c r="D3477" s="1">
        <f>0.009673*(1000000)</f>
        <v>9673</v>
      </c>
    </row>
    <row r="3478" spans="1:4" x14ac:dyDescent="0.25">
      <c r="A3478" s="2">
        <v>38231</v>
      </c>
      <c r="B3478" s="1" t="s">
        <v>22</v>
      </c>
      <c r="C3478" s="1">
        <v>0</v>
      </c>
      <c r="D3478" s="1">
        <f>0.009431*(1000000)</f>
        <v>9431</v>
      </c>
    </row>
    <row r="3479" spans="1:4" x14ac:dyDescent="0.25">
      <c r="A3479" s="2">
        <v>38261</v>
      </c>
      <c r="B3479" s="1" t="s">
        <v>22</v>
      </c>
      <c r="C3479" s="1">
        <v>0</v>
      </c>
      <c r="D3479" s="1">
        <f>0.010088*(1000000)</f>
        <v>10088</v>
      </c>
    </row>
    <row r="3480" spans="1:4" x14ac:dyDescent="0.25">
      <c r="A3480" s="2">
        <v>38292</v>
      </c>
      <c r="B3480" s="1" t="s">
        <v>22</v>
      </c>
      <c r="C3480" s="1">
        <v>0</v>
      </c>
      <c r="D3480" s="1">
        <f>0.009981*(1000000)</f>
        <v>9981</v>
      </c>
    </row>
    <row r="3481" spans="1:4" x14ac:dyDescent="0.25">
      <c r="A3481" s="2">
        <v>38322</v>
      </c>
      <c r="B3481" s="1" t="s">
        <v>22</v>
      </c>
      <c r="C3481" s="1">
        <v>0</v>
      </c>
      <c r="D3481" s="1">
        <f>0.009338*(1000000)</f>
        <v>9338</v>
      </c>
    </row>
    <row r="3482" spans="1:4" x14ac:dyDescent="0.25">
      <c r="A3482" s="2">
        <v>38353</v>
      </c>
      <c r="B3482" s="1" t="s">
        <v>22</v>
      </c>
      <c r="C3482" s="1">
        <v>0</v>
      </c>
      <c r="D3482" s="1">
        <f>0.009116*(1000000)</f>
        <v>9116</v>
      </c>
    </row>
    <row r="3483" spans="1:4" x14ac:dyDescent="0.25">
      <c r="A3483" s="2">
        <v>38384</v>
      </c>
      <c r="B3483" s="1" t="s">
        <v>22</v>
      </c>
      <c r="C3483" s="1">
        <v>0</v>
      </c>
      <c r="D3483" s="1">
        <f>0.009097*(1000000)</f>
        <v>9097</v>
      </c>
    </row>
    <row r="3484" spans="1:4" x14ac:dyDescent="0.25">
      <c r="A3484" s="2">
        <v>38412</v>
      </c>
      <c r="B3484" s="1" t="s">
        <v>22</v>
      </c>
      <c r="C3484" s="1">
        <v>0</v>
      </c>
      <c r="D3484" s="1">
        <f>0.009061*(1000000)</f>
        <v>9061</v>
      </c>
    </row>
    <row r="3485" spans="1:4" x14ac:dyDescent="0.25">
      <c r="A3485" s="2">
        <v>38443</v>
      </c>
      <c r="B3485" s="1" t="s">
        <v>22</v>
      </c>
      <c r="C3485" s="1">
        <v>0</v>
      </c>
      <c r="D3485" s="1">
        <f>0.009411*(1000000)</f>
        <v>9411</v>
      </c>
    </row>
    <row r="3486" spans="1:4" x14ac:dyDescent="0.25">
      <c r="A3486" s="2">
        <v>38473</v>
      </c>
      <c r="B3486" s="1" t="s">
        <v>22</v>
      </c>
      <c r="C3486" s="1">
        <v>0</v>
      </c>
      <c r="D3486" s="1">
        <f>0.009275*(1000000)</f>
        <v>9275</v>
      </c>
    </row>
    <row r="3487" spans="1:4" x14ac:dyDescent="0.25">
      <c r="A3487" s="2">
        <v>38504</v>
      </c>
      <c r="B3487" s="1" t="s">
        <v>22</v>
      </c>
      <c r="C3487" s="1">
        <v>0</v>
      </c>
      <c r="D3487" s="1">
        <f>0.009314*(1000000)</f>
        <v>9314</v>
      </c>
    </row>
    <row r="3488" spans="1:4" x14ac:dyDescent="0.25">
      <c r="A3488" s="2">
        <v>38534</v>
      </c>
      <c r="B3488" s="1" t="s">
        <v>22</v>
      </c>
      <c r="C3488" s="1">
        <v>0</v>
      </c>
      <c r="D3488" s="1">
        <f>0.008763*(1000000)</f>
        <v>8763</v>
      </c>
    </row>
    <row r="3489" spans="1:4" x14ac:dyDescent="0.25">
      <c r="A3489" s="2">
        <v>38565</v>
      </c>
      <c r="B3489" s="1" t="s">
        <v>22</v>
      </c>
      <c r="C3489" s="1">
        <v>0</v>
      </c>
      <c r="D3489" s="1">
        <f>0.008861*(1000000)</f>
        <v>8861</v>
      </c>
    </row>
    <row r="3490" spans="1:4" x14ac:dyDescent="0.25">
      <c r="A3490" s="2">
        <v>38596</v>
      </c>
      <c r="B3490" s="1" t="s">
        <v>22</v>
      </c>
      <c r="C3490" s="1">
        <v>0</v>
      </c>
      <c r="D3490" s="1">
        <f>0.008982*(1000000)</f>
        <v>8982</v>
      </c>
    </row>
    <row r="3491" spans="1:4" x14ac:dyDescent="0.25">
      <c r="A3491" s="2">
        <v>38626</v>
      </c>
      <c r="B3491" s="1" t="s">
        <v>22</v>
      </c>
      <c r="C3491" s="1">
        <v>0</v>
      </c>
      <c r="D3491" s="1">
        <f>0.009487*(1000000)</f>
        <v>9487</v>
      </c>
    </row>
    <row r="3492" spans="1:4" x14ac:dyDescent="0.25">
      <c r="A3492" s="2">
        <v>38657</v>
      </c>
      <c r="B3492" s="1" t="s">
        <v>22</v>
      </c>
      <c r="C3492" s="1">
        <v>0</v>
      </c>
      <c r="D3492" s="1">
        <f>0.009281*(1000000)</f>
        <v>9281</v>
      </c>
    </row>
    <row r="3493" spans="1:4" x14ac:dyDescent="0.25">
      <c r="A3493" s="2">
        <v>38687</v>
      </c>
      <c r="B3493" s="1" t="s">
        <v>22</v>
      </c>
      <c r="C3493" s="1">
        <v>0</v>
      </c>
      <c r="D3493" s="1">
        <f>0.0094*(1000000)</f>
        <v>9400</v>
      </c>
    </row>
    <row r="3494" spans="1:4" x14ac:dyDescent="0.25">
      <c r="A3494" s="2">
        <v>38718</v>
      </c>
      <c r="B3494" s="1" t="s">
        <v>22</v>
      </c>
      <c r="C3494" s="1">
        <v>0</v>
      </c>
      <c r="D3494" s="1">
        <f>0.009464*(1000000)</f>
        <v>9464</v>
      </c>
    </row>
    <row r="3495" spans="1:4" x14ac:dyDescent="0.25">
      <c r="A3495" s="2">
        <v>38749</v>
      </c>
      <c r="B3495" s="1" t="s">
        <v>22</v>
      </c>
      <c r="C3495" s="1">
        <v>0</v>
      </c>
      <c r="D3495" s="1">
        <f>0.009285*(1000000)</f>
        <v>9285</v>
      </c>
    </row>
    <row r="3496" spans="1:4" x14ac:dyDescent="0.25">
      <c r="A3496" s="2">
        <v>38777</v>
      </c>
      <c r="B3496" s="1" t="s">
        <v>22</v>
      </c>
      <c r="C3496" s="1">
        <v>0</v>
      </c>
      <c r="D3496" s="1">
        <f>0.00928*(1000000)</f>
        <v>9280</v>
      </c>
    </row>
    <row r="3497" spans="1:4" x14ac:dyDescent="0.25">
      <c r="A3497" s="2">
        <v>38808</v>
      </c>
      <c r="B3497" s="1" t="s">
        <v>22</v>
      </c>
      <c r="C3497" s="1">
        <v>0</v>
      </c>
      <c r="D3497" s="1">
        <f>0.0096*(1000000)</f>
        <v>9600</v>
      </c>
    </row>
    <row r="3498" spans="1:4" x14ac:dyDescent="0.25">
      <c r="A3498" s="2">
        <v>38838</v>
      </c>
      <c r="B3498" s="1" t="s">
        <v>22</v>
      </c>
      <c r="C3498" s="1">
        <v>0</v>
      </c>
      <c r="D3498" s="1">
        <f>0.009458*(1000000)</f>
        <v>9458</v>
      </c>
    </row>
    <row r="3499" spans="1:4" x14ac:dyDescent="0.25">
      <c r="A3499" s="2">
        <v>38869</v>
      </c>
      <c r="B3499" s="1" t="s">
        <v>22</v>
      </c>
      <c r="C3499" s="1">
        <v>0</v>
      </c>
      <c r="D3499" s="1">
        <f>0.009638*(1000000)</f>
        <v>9638</v>
      </c>
    </row>
    <row r="3500" spans="1:4" x14ac:dyDescent="0.25">
      <c r="A3500" s="2">
        <v>38899</v>
      </c>
      <c r="B3500" s="1" t="s">
        <v>22</v>
      </c>
      <c r="C3500" s="1">
        <v>0</v>
      </c>
      <c r="D3500" s="1">
        <f>0.009523*(1000000)</f>
        <v>9523</v>
      </c>
    </row>
    <row r="3501" spans="1:4" x14ac:dyDescent="0.25">
      <c r="A3501" s="2">
        <v>38930</v>
      </c>
      <c r="B3501" s="1" t="s">
        <v>22</v>
      </c>
      <c r="C3501" s="1">
        <v>0</v>
      </c>
      <c r="D3501" s="1">
        <f>0.009627*(1000000)</f>
        <v>9627</v>
      </c>
    </row>
    <row r="3502" spans="1:4" x14ac:dyDescent="0.25">
      <c r="A3502" s="2">
        <v>38961</v>
      </c>
      <c r="B3502" s="1" t="s">
        <v>22</v>
      </c>
      <c r="C3502" s="1">
        <v>0</v>
      </c>
      <c r="D3502" s="1">
        <f>0.010137*(1000000)</f>
        <v>10137</v>
      </c>
    </row>
    <row r="3503" spans="1:4" x14ac:dyDescent="0.25">
      <c r="A3503" s="2">
        <v>38991</v>
      </c>
      <c r="B3503" s="1" t="s">
        <v>22</v>
      </c>
      <c r="C3503" s="1">
        <v>0</v>
      </c>
      <c r="D3503" s="1">
        <f>0.009958*(1000000)</f>
        <v>9958</v>
      </c>
    </row>
    <row r="3504" spans="1:4" x14ac:dyDescent="0.25">
      <c r="A3504" s="2">
        <v>39022</v>
      </c>
      <c r="B3504" s="1" t="s">
        <v>22</v>
      </c>
      <c r="C3504" s="1">
        <v>0</v>
      </c>
      <c r="D3504" s="1">
        <f>0.010902*(1000000)</f>
        <v>10902</v>
      </c>
    </row>
    <row r="3505" spans="1:4" x14ac:dyDescent="0.25">
      <c r="A3505" s="2">
        <v>39052</v>
      </c>
      <c r="B3505" s="1" t="s">
        <v>22</v>
      </c>
      <c r="C3505" s="1">
        <v>0</v>
      </c>
      <c r="D3505" s="1">
        <f>0.010379*(1000000)</f>
        <v>10379</v>
      </c>
    </row>
    <row r="3506" spans="1:4" x14ac:dyDescent="0.25">
      <c r="A3506" s="2">
        <v>39083</v>
      </c>
      <c r="B3506" s="1" t="s">
        <v>22</v>
      </c>
      <c r="C3506" s="1">
        <v>0</v>
      </c>
      <c r="D3506" s="1">
        <f>0.010287*(1000000)</f>
        <v>10287</v>
      </c>
    </row>
    <row r="3507" spans="1:4" x14ac:dyDescent="0.25">
      <c r="A3507" s="2">
        <v>39114</v>
      </c>
      <c r="B3507" s="1" t="s">
        <v>22</v>
      </c>
      <c r="C3507" s="1">
        <v>0</v>
      </c>
      <c r="D3507" s="1">
        <f>0.011432*(1000000)</f>
        <v>11432</v>
      </c>
    </row>
    <row r="3508" spans="1:4" x14ac:dyDescent="0.25">
      <c r="A3508" s="2">
        <v>39142</v>
      </c>
      <c r="B3508" s="1" t="s">
        <v>22</v>
      </c>
      <c r="C3508" s="1">
        <v>0</v>
      </c>
      <c r="D3508" s="1">
        <f>0.011492*(1000000)</f>
        <v>11492</v>
      </c>
    </row>
    <row r="3509" spans="1:4" x14ac:dyDescent="0.25">
      <c r="A3509" s="2">
        <v>39173</v>
      </c>
      <c r="B3509" s="1" t="s">
        <v>22</v>
      </c>
      <c r="C3509" s="1">
        <v>0</v>
      </c>
      <c r="D3509" s="1">
        <f>0.011306*(1000000)</f>
        <v>11306</v>
      </c>
    </row>
    <row r="3510" spans="1:4" x14ac:dyDescent="0.25">
      <c r="A3510" s="2">
        <v>39203</v>
      </c>
      <c r="B3510" s="1" t="s">
        <v>22</v>
      </c>
      <c r="C3510" s="1">
        <v>0</v>
      </c>
      <c r="D3510" s="1">
        <f>0.011525*(1000000)</f>
        <v>11525</v>
      </c>
    </row>
    <row r="3511" spans="1:4" x14ac:dyDescent="0.25">
      <c r="A3511" s="2">
        <v>39234</v>
      </c>
      <c r="B3511" s="1" t="s">
        <v>22</v>
      </c>
      <c r="C3511" s="1">
        <v>0</v>
      </c>
      <c r="D3511" s="1">
        <f>0.011095*(1000000)</f>
        <v>11095</v>
      </c>
    </row>
    <row r="3512" spans="1:4" x14ac:dyDescent="0.25">
      <c r="A3512" s="2">
        <v>39264</v>
      </c>
      <c r="B3512" s="1" t="s">
        <v>22</v>
      </c>
      <c r="C3512" s="1">
        <v>0</v>
      </c>
      <c r="D3512" s="1">
        <f>0.012037*(1000000)</f>
        <v>12037</v>
      </c>
    </row>
    <row r="3513" spans="1:4" x14ac:dyDescent="0.25">
      <c r="A3513" s="2">
        <v>39295</v>
      </c>
      <c r="B3513" s="1" t="s">
        <v>22</v>
      </c>
      <c r="C3513" s="1">
        <v>0</v>
      </c>
      <c r="D3513" s="1">
        <f>0.012806*(1000000)</f>
        <v>12806</v>
      </c>
    </row>
    <row r="3514" spans="1:4" x14ac:dyDescent="0.25">
      <c r="A3514" s="2">
        <v>39326</v>
      </c>
      <c r="B3514" s="1" t="s">
        <v>22</v>
      </c>
      <c r="C3514" s="1">
        <v>0</v>
      </c>
      <c r="D3514" s="1">
        <f>0.012253*(1000000)</f>
        <v>12253</v>
      </c>
    </row>
    <row r="3515" spans="1:4" x14ac:dyDescent="0.25">
      <c r="A3515" s="2">
        <v>39356</v>
      </c>
      <c r="B3515" s="1" t="s">
        <v>22</v>
      </c>
      <c r="C3515" s="1">
        <v>0</v>
      </c>
      <c r="D3515" s="1">
        <f>0.012392*(1000000)</f>
        <v>12392</v>
      </c>
    </row>
    <row r="3516" spans="1:4" x14ac:dyDescent="0.25">
      <c r="A3516" s="2">
        <v>39387</v>
      </c>
      <c r="B3516" s="1" t="s">
        <v>22</v>
      </c>
      <c r="C3516" s="1">
        <v>0</v>
      </c>
      <c r="D3516" s="1">
        <f>0.01235*(1000000)</f>
        <v>12350</v>
      </c>
    </row>
    <row r="3517" spans="1:4" x14ac:dyDescent="0.25">
      <c r="A3517" s="2">
        <v>39417</v>
      </c>
      <c r="B3517" s="1" t="s">
        <v>22</v>
      </c>
      <c r="C3517" s="1">
        <v>0</v>
      </c>
      <c r="D3517" s="1">
        <f>0.013104*(1000000)</f>
        <v>13104</v>
      </c>
    </row>
    <row r="3518" spans="1:4" x14ac:dyDescent="0.25">
      <c r="A3518" s="2">
        <v>39448</v>
      </c>
      <c r="B3518" s="1" t="s">
        <v>22</v>
      </c>
      <c r="C3518" s="1">
        <v>0</v>
      </c>
      <c r="D3518" s="1">
        <f>0.012647*(1000000)</f>
        <v>12647</v>
      </c>
    </row>
    <row r="3519" spans="1:4" x14ac:dyDescent="0.25">
      <c r="A3519" s="2">
        <v>39479</v>
      </c>
      <c r="B3519" s="1" t="s">
        <v>22</v>
      </c>
      <c r="C3519" s="1">
        <v>0</v>
      </c>
      <c r="D3519" s="1">
        <f>0.013098*(1000000)</f>
        <v>13098</v>
      </c>
    </row>
    <row r="3520" spans="1:4" x14ac:dyDescent="0.25">
      <c r="A3520" s="2">
        <v>39508</v>
      </c>
      <c r="B3520" s="1" t="s">
        <v>22</v>
      </c>
      <c r="C3520" s="1">
        <v>0</v>
      </c>
      <c r="D3520" s="1">
        <f>0.013725*(1000000)</f>
        <v>13725</v>
      </c>
    </row>
    <row r="3521" spans="1:4" x14ac:dyDescent="0.25">
      <c r="A3521" s="2">
        <v>39539</v>
      </c>
      <c r="B3521" s="1" t="s">
        <v>22</v>
      </c>
      <c r="C3521" s="1">
        <v>0</v>
      </c>
      <c r="D3521" s="1">
        <f>0.013254*(1000000)</f>
        <v>13254</v>
      </c>
    </row>
    <row r="3522" spans="1:4" x14ac:dyDescent="0.25">
      <c r="A3522" s="2">
        <v>39569</v>
      </c>
      <c r="B3522" s="1" t="s">
        <v>22</v>
      </c>
      <c r="C3522" s="1">
        <v>0</v>
      </c>
      <c r="D3522" s="1">
        <f>0.012555*(1000000)</f>
        <v>12555</v>
      </c>
    </row>
    <row r="3523" spans="1:4" x14ac:dyDescent="0.25">
      <c r="A3523" s="2">
        <v>39600</v>
      </c>
      <c r="B3523" s="1" t="s">
        <v>22</v>
      </c>
      <c r="C3523" s="1">
        <v>0</v>
      </c>
      <c r="D3523" s="1">
        <f>0.012723*(1000000)</f>
        <v>12723</v>
      </c>
    </row>
    <row r="3524" spans="1:4" x14ac:dyDescent="0.25">
      <c r="A3524" s="2">
        <v>39630</v>
      </c>
      <c r="B3524" s="1" t="s">
        <v>22</v>
      </c>
      <c r="C3524" s="1">
        <v>0</v>
      </c>
      <c r="D3524" s="1">
        <f>0.013344*(1000000)</f>
        <v>13344</v>
      </c>
    </row>
    <row r="3525" spans="1:4" x14ac:dyDescent="0.25">
      <c r="A3525" s="2">
        <v>39661</v>
      </c>
      <c r="B3525" s="1" t="s">
        <v>22</v>
      </c>
      <c r="C3525" s="1">
        <v>0</v>
      </c>
      <c r="D3525" s="1">
        <f>0.012952*(1000000)</f>
        <v>12952</v>
      </c>
    </row>
    <row r="3526" spans="1:4" x14ac:dyDescent="0.25">
      <c r="A3526" s="2">
        <v>39692</v>
      </c>
      <c r="B3526" s="1" t="s">
        <v>22</v>
      </c>
      <c r="C3526" s="1">
        <v>0</v>
      </c>
      <c r="D3526" s="1">
        <f>0.012901*(1000000)</f>
        <v>12901</v>
      </c>
    </row>
    <row r="3527" spans="1:4" x14ac:dyDescent="0.25">
      <c r="A3527" s="2">
        <v>39722</v>
      </c>
      <c r="B3527" s="1" t="s">
        <v>22</v>
      </c>
      <c r="C3527" s="1">
        <v>0</v>
      </c>
      <c r="D3527" s="1">
        <f>0.014165*(1000000)</f>
        <v>14165</v>
      </c>
    </row>
    <row r="3528" spans="1:4" x14ac:dyDescent="0.25">
      <c r="A3528" s="2">
        <v>39753</v>
      </c>
      <c r="B3528" s="1" t="s">
        <v>22</v>
      </c>
      <c r="C3528" s="1">
        <v>0</v>
      </c>
      <c r="D3528" s="1">
        <f>0.01458*(1000000)</f>
        <v>14580</v>
      </c>
    </row>
    <row r="3529" spans="1:4" x14ac:dyDescent="0.25">
      <c r="A3529" s="2">
        <v>39783</v>
      </c>
      <c r="B3529" s="1" t="s">
        <v>22</v>
      </c>
      <c r="C3529" s="1">
        <v>0</v>
      </c>
      <c r="D3529" s="1">
        <f>0.014884*(1000000)</f>
        <v>14884</v>
      </c>
    </row>
    <row r="3530" spans="1:4" x14ac:dyDescent="0.25">
      <c r="A3530" s="2">
        <v>39814</v>
      </c>
      <c r="B3530" s="1" t="s">
        <v>22</v>
      </c>
      <c r="C3530" s="1">
        <v>0</v>
      </c>
      <c r="D3530" s="1">
        <f>0.015841*(1000000)</f>
        <v>15841.000000000002</v>
      </c>
    </row>
    <row r="3531" spans="1:4" x14ac:dyDescent="0.25">
      <c r="A3531" s="2">
        <v>39845</v>
      </c>
      <c r="B3531" s="1" t="s">
        <v>22</v>
      </c>
      <c r="C3531" s="1">
        <v>0</v>
      </c>
      <c r="D3531" s="1">
        <f>0.014917*(1000000)</f>
        <v>14917</v>
      </c>
    </row>
    <row r="3532" spans="1:4" x14ac:dyDescent="0.25">
      <c r="A3532" s="2">
        <v>39873</v>
      </c>
      <c r="B3532" s="1" t="s">
        <v>22</v>
      </c>
      <c r="C3532" s="1">
        <v>0</v>
      </c>
      <c r="D3532" s="1">
        <f>0.015966*(1000000)</f>
        <v>15966.000000000002</v>
      </c>
    </row>
    <row r="3533" spans="1:4" x14ac:dyDescent="0.25">
      <c r="A3533" s="2">
        <v>39904</v>
      </c>
      <c r="B3533" s="1" t="s">
        <v>22</v>
      </c>
      <c r="C3533" s="1">
        <v>0</v>
      </c>
      <c r="D3533" s="1">
        <f>0.015242*(1000000)</f>
        <v>15242</v>
      </c>
    </row>
    <row r="3534" spans="1:4" x14ac:dyDescent="0.25">
      <c r="A3534" s="2">
        <v>39934</v>
      </c>
      <c r="B3534" s="1" t="s">
        <v>22</v>
      </c>
      <c r="C3534" s="1">
        <v>0</v>
      </c>
      <c r="D3534" s="1">
        <f>0.01532*(1000000)</f>
        <v>15320</v>
      </c>
    </row>
    <row r="3535" spans="1:4" x14ac:dyDescent="0.25">
      <c r="A3535" s="2">
        <v>39965</v>
      </c>
      <c r="B3535" s="1" t="s">
        <v>22</v>
      </c>
      <c r="C3535" s="1">
        <v>0</v>
      </c>
      <c r="D3535" s="1">
        <f>0.014582*(1000000)</f>
        <v>14582</v>
      </c>
    </row>
    <row r="3536" spans="1:4" x14ac:dyDescent="0.25">
      <c r="A3536" s="2">
        <v>39995</v>
      </c>
      <c r="B3536" s="1" t="s">
        <v>22</v>
      </c>
      <c r="C3536" s="1">
        <v>0</v>
      </c>
      <c r="D3536" s="1">
        <f>0.014766*(1000000)</f>
        <v>14766</v>
      </c>
    </row>
    <row r="3537" spans="1:4" x14ac:dyDescent="0.25">
      <c r="A3537" s="2">
        <v>40026</v>
      </c>
      <c r="B3537" s="1" t="s">
        <v>22</v>
      </c>
      <c r="C3537" s="1">
        <v>0</v>
      </c>
      <c r="D3537" s="1">
        <f>0.015313*(1000000)</f>
        <v>15313</v>
      </c>
    </row>
    <row r="3538" spans="1:4" x14ac:dyDescent="0.25">
      <c r="A3538" s="2">
        <v>40057</v>
      </c>
      <c r="B3538" s="1" t="s">
        <v>22</v>
      </c>
      <c r="C3538" s="1">
        <v>0</v>
      </c>
      <c r="D3538" s="1">
        <f>0.01444*(1000000)</f>
        <v>14440</v>
      </c>
    </row>
    <row r="3539" spans="1:4" x14ac:dyDescent="0.25">
      <c r="A3539" s="2">
        <v>40087</v>
      </c>
      <c r="B3539" s="1" t="s">
        <v>22</v>
      </c>
      <c r="C3539" s="1">
        <v>0</v>
      </c>
      <c r="D3539" s="1">
        <f>0.014546*(1000000)</f>
        <v>14546</v>
      </c>
    </row>
    <row r="3540" spans="1:4" x14ac:dyDescent="0.25">
      <c r="A3540" s="2">
        <v>40118</v>
      </c>
      <c r="B3540" s="1" t="s">
        <v>22</v>
      </c>
      <c r="C3540" s="1">
        <v>0</v>
      </c>
      <c r="D3540" s="1">
        <f>0.016112*(1000000)</f>
        <v>16112.000000000002</v>
      </c>
    </row>
    <row r="3541" spans="1:4" x14ac:dyDescent="0.25">
      <c r="A3541" s="2">
        <v>40148</v>
      </c>
      <c r="B3541" s="1" t="s">
        <v>22</v>
      </c>
      <c r="C3541" s="1">
        <v>0</v>
      </c>
      <c r="D3541" s="1">
        <f>0.016299*(1000000)</f>
        <v>16299.000000000002</v>
      </c>
    </row>
    <row r="3542" spans="1:4" x14ac:dyDescent="0.25">
      <c r="A3542" s="2">
        <v>40179</v>
      </c>
      <c r="B3542" s="1" t="s">
        <v>22</v>
      </c>
      <c r="C3542" s="1">
        <v>0</v>
      </c>
      <c r="D3542" s="1">
        <f>0.017668*(1000000)</f>
        <v>17668</v>
      </c>
    </row>
    <row r="3543" spans="1:4" x14ac:dyDescent="0.25">
      <c r="A3543" s="2">
        <v>40210</v>
      </c>
      <c r="B3543" s="1" t="s">
        <v>22</v>
      </c>
      <c r="C3543" s="1">
        <v>0</v>
      </c>
      <c r="D3543" s="1">
        <f>0.018748*(1000000)</f>
        <v>18748</v>
      </c>
    </row>
    <row r="3544" spans="1:4" x14ac:dyDescent="0.25">
      <c r="A3544" s="2">
        <v>40238</v>
      </c>
      <c r="B3544" s="1" t="s">
        <v>22</v>
      </c>
      <c r="C3544" s="1">
        <v>0</v>
      </c>
      <c r="D3544" s="1">
        <f>0.019123*(1000000)</f>
        <v>19123</v>
      </c>
    </row>
    <row r="3545" spans="1:4" x14ac:dyDescent="0.25">
      <c r="A3545" s="2">
        <v>40269</v>
      </c>
      <c r="B3545" s="1" t="s">
        <v>22</v>
      </c>
      <c r="C3545" s="1">
        <v>0</v>
      </c>
      <c r="D3545" s="1">
        <f>0.019132*(1000000)</f>
        <v>19132</v>
      </c>
    </row>
    <row r="3546" spans="1:4" x14ac:dyDescent="0.25">
      <c r="A3546" s="2">
        <v>40299</v>
      </c>
      <c r="B3546" s="1" t="s">
        <v>22</v>
      </c>
      <c r="C3546" s="1">
        <v>0</v>
      </c>
      <c r="D3546" s="1">
        <f>0.020292*(1000000)</f>
        <v>20292</v>
      </c>
    </row>
    <row r="3547" spans="1:4" x14ac:dyDescent="0.25">
      <c r="A3547" s="2">
        <v>40330</v>
      </c>
      <c r="B3547" s="1" t="s">
        <v>22</v>
      </c>
      <c r="C3547" s="1">
        <v>0</v>
      </c>
      <c r="D3547" s="1">
        <f>0.019102*(1000000)</f>
        <v>19102</v>
      </c>
    </row>
    <row r="3548" spans="1:4" x14ac:dyDescent="0.25">
      <c r="A3548" s="2">
        <v>40360</v>
      </c>
      <c r="B3548" s="1" t="s">
        <v>22</v>
      </c>
      <c r="C3548" s="1">
        <v>0</v>
      </c>
      <c r="D3548" s="1">
        <f>0.019912*(1000000)</f>
        <v>19912</v>
      </c>
    </row>
    <row r="3549" spans="1:4" x14ac:dyDescent="0.25">
      <c r="A3549" s="2">
        <v>40391</v>
      </c>
      <c r="B3549" s="1" t="s">
        <v>22</v>
      </c>
      <c r="C3549" s="1">
        <v>0</v>
      </c>
      <c r="D3549" s="1">
        <f>0.021514*(1000000)</f>
        <v>21514</v>
      </c>
    </row>
    <row r="3550" spans="1:4" x14ac:dyDescent="0.25">
      <c r="A3550" s="2">
        <v>40422</v>
      </c>
      <c r="B3550" s="1" t="s">
        <v>22</v>
      </c>
      <c r="C3550" s="1">
        <v>0</v>
      </c>
      <c r="D3550" s="1">
        <f>0.023017*(1000000)</f>
        <v>23017</v>
      </c>
    </row>
    <row r="3551" spans="1:4" x14ac:dyDescent="0.25">
      <c r="A3551" s="2">
        <v>40452</v>
      </c>
      <c r="B3551" s="1" t="s">
        <v>22</v>
      </c>
      <c r="C3551" s="1">
        <v>0</v>
      </c>
      <c r="D3551" s="1">
        <f>0.025825*(1000000)</f>
        <v>25825</v>
      </c>
    </row>
    <row r="3552" spans="1:4" x14ac:dyDescent="0.25">
      <c r="A3552" s="2">
        <v>40483</v>
      </c>
      <c r="B3552" s="1" t="s">
        <v>22</v>
      </c>
      <c r="C3552" s="1">
        <v>0</v>
      </c>
      <c r="D3552" s="1">
        <f>0.026746*(1000000)</f>
        <v>26746</v>
      </c>
    </row>
    <row r="3553" spans="1:4" x14ac:dyDescent="0.25">
      <c r="A3553" s="2">
        <v>40513</v>
      </c>
      <c r="B3553" s="1" t="s">
        <v>22</v>
      </c>
      <c r="C3553" s="1">
        <v>0</v>
      </c>
      <c r="D3553" s="1">
        <f>0.023558*(1000000)</f>
        <v>23558</v>
      </c>
    </row>
    <row r="3554" spans="1:4" x14ac:dyDescent="0.25">
      <c r="A3554" s="2">
        <v>40544</v>
      </c>
      <c r="B3554" s="1" t="s">
        <v>22</v>
      </c>
      <c r="C3554" s="1">
        <v>0</v>
      </c>
      <c r="D3554" s="1">
        <f>0.026065*(1000000)</f>
        <v>26065</v>
      </c>
    </row>
    <row r="3555" spans="1:4" x14ac:dyDescent="0.25">
      <c r="A3555" s="2">
        <v>40575</v>
      </c>
      <c r="B3555" s="1" t="s">
        <v>22</v>
      </c>
      <c r="C3555" s="1">
        <v>0</v>
      </c>
      <c r="D3555" s="1">
        <f>0.023608*(1000000)</f>
        <v>23608</v>
      </c>
    </row>
    <row r="3556" spans="1:4" x14ac:dyDescent="0.25">
      <c r="A3556" s="2">
        <v>40603</v>
      </c>
      <c r="B3556" s="1" t="s">
        <v>22</v>
      </c>
      <c r="C3556" s="1">
        <v>0</v>
      </c>
      <c r="D3556" s="1">
        <f>0.029219*(1000000)</f>
        <v>29219</v>
      </c>
    </row>
    <row r="3557" spans="1:4" x14ac:dyDescent="0.25">
      <c r="A3557" s="2">
        <v>40634</v>
      </c>
      <c r="B3557" s="1" t="s">
        <v>22</v>
      </c>
      <c r="C3557" s="1">
        <v>0</v>
      </c>
      <c r="D3557" s="1">
        <f>0.02894*(1000000)</f>
        <v>28940</v>
      </c>
    </row>
    <row r="3558" spans="1:4" x14ac:dyDescent="0.25">
      <c r="A3558" s="2">
        <v>40664</v>
      </c>
      <c r="B3558" s="1" t="s">
        <v>22</v>
      </c>
      <c r="C3558" s="1">
        <v>0</v>
      </c>
      <c r="D3558" s="1">
        <f>0.029517*(1000000)</f>
        <v>29517</v>
      </c>
    </row>
    <row r="3559" spans="1:4" x14ac:dyDescent="0.25">
      <c r="A3559" s="2">
        <v>40695</v>
      </c>
      <c r="B3559" s="1" t="s">
        <v>22</v>
      </c>
      <c r="C3559" s="1">
        <v>0</v>
      </c>
      <c r="D3559" s="1">
        <f>0.033936*(1000000)</f>
        <v>33936</v>
      </c>
    </row>
    <row r="3560" spans="1:4" x14ac:dyDescent="0.25">
      <c r="A3560" s="2">
        <v>40725</v>
      </c>
      <c r="B3560" s="1" t="s">
        <v>22</v>
      </c>
      <c r="C3560" s="1">
        <v>0</v>
      </c>
      <c r="D3560" s="1">
        <f>0.034887*(1000000)</f>
        <v>34887</v>
      </c>
    </row>
    <row r="3561" spans="1:4" x14ac:dyDescent="0.25">
      <c r="A3561" s="2">
        <v>40756</v>
      </c>
      <c r="B3561" s="1" t="s">
        <v>22</v>
      </c>
      <c r="C3561" s="1">
        <v>0</v>
      </c>
      <c r="D3561" s="1">
        <f>0.038372*(1000000)</f>
        <v>38372</v>
      </c>
    </row>
    <row r="3562" spans="1:4" x14ac:dyDescent="0.25">
      <c r="A3562" s="2">
        <v>40787</v>
      </c>
      <c r="B3562" s="1" t="s">
        <v>22</v>
      </c>
      <c r="C3562" s="1">
        <v>0</v>
      </c>
      <c r="D3562" s="1">
        <f>0.039005*(1000000)</f>
        <v>39005</v>
      </c>
    </row>
    <row r="3563" spans="1:4" x14ac:dyDescent="0.25">
      <c r="A3563" s="2">
        <v>40817</v>
      </c>
      <c r="B3563" s="1" t="s">
        <v>22</v>
      </c>
      <c r="C3563" s="1">
        <v>0</v>
      </c>
      <c r="D3563" s="1">
        <f>0.039551*(1000000)</f>
        <v>39551</v>
      </c>
    </row>
    <row r="3564" spans="1:4" x14ac:dyDescent="0.25">
      <c r="A3564" s="2">
        <v>40848</v>
      </c>
      <c r="B3564" s="1" t="s">
        <v>22</v>
      </c>
      <c r="C3564" s="1">
        <v>0</v>
      </c>
      <c r="D3564" s="1">
        <f>0.046685*(1000000)</f>
        <v>46685</v>
      </c>
    </row>
    <row r="3565" spans="1:4" x14ac:dyDescent="0.25">
      <c r="A3565" s="2">
        <v>40878</v>
      </c>
      <c r="B3565" s="1" t="s">
        <v>22</v>
      </c>
      <c r="C3565" s="1">
        <v>0</v>
      </c>
      <c r="D3565" s="1">
        <f>0.046507*(1000000)</f>
        <v>46507</v>
      </c>
    </row>
    <row r="3566" spans="1:4" x14ac:dyDescent="0.25">
      <c r="A3566" s="2">
        <v>40909</v>
      </c>
      <c r="B3566" s="1" t="s">
        <v>22</v>
      </c>
      <c r="C3566" s="1">
        <v>0</v>
      </c>
      <c r="D3566" s="1">
        <f>0.049488*(1000000)</f>
        <v>49488</v>
      </c>
    </row>
    <row r="3567" spans="1:4" x14ac:dyDescent="0.25">
      <c r="A3567" s="2">
        <v>40940</v>
      </c>
      <c r="B3567" s="1" t="s">
        <v>22</v>
      </c>
      <c r="C3567" s="1">
        <v>0</v>
      </c>
      <c r="D3567" s="1">
        <f>0.052884*(1000000)</f>
        <v>52884</v>
      </c>
    </row>
    <row r="3568" spans="1:4" x14ac:dyDescent="0.25">
      <c r="A3568" s="2">
        <v>40969</v>
      </c>
      <c r="B3568" s="1" t="s">
        <v>22</v>
      </c>
      <c r="C3568" s="1">
        <v>0</v>
      </c>
      <c r="D3568" s="1">
        <f>0.056865*(1000000)</f>
        <v>56865</v>
      </c>
    </row>
    <row r="3569" spans="1:4" x14ac:dyDescent="0.25">
      <c r="A3569" s="2">
        <v>41000</v>
      </c>
      <c r="B3569" s="1" t="s">
        <v>22</v>
      </c>
      <c r="C3569" s="1">
        <v>0</v>
      </c>
      <c r="D3569" s="1">
        <f>0.06299*(1000000)</f>
        <v>62990.000000000007</v>
      </c>
    </row>
    <row r="3570" spans="1:4" x14ac:dyDescent="0.25">
      <c r="A3570" s="2">
        <v>41030</v>
      </c>
      <c r="B3570" s="1" t="s">
        <v>22</v>
      </c>
      <c r="C3570" s="1">
        <v>0</v>
      </c>
      <c r="D3570" s="1">
        <f>0.065339*(1000000)</f>
        <v>65338.999999999993</v>
      </c>
    </row>
    <row r="3571" spans="1:4" x14ac:dyDescent="0.25">
      <c r="A3571" s="2">
        <v>41061</v>
      </c>
      <c r="B3571" s="1" t="s">
        <v>22</v>
      </c>
      <c r="C3571" s="1">
        <v>0</v>
      </c>
      <c r="D3571" s="1">
        <f>0.066232*(1000000)</f>
        <v>66232</v>
      </c>
    </row>
    <row r="3572" spans="1:4" x14ac:dyDescent="0.25">
      <c r="A3572" s="2">
        <v>41091</v>
      </c>
      <c r="B3572" s="1" t="s">
        <v>22</v>
      </c>
      <c r="C3572" s="1">
        <v>0</v>
      </c>
      <c r="D3572" s="1">
        <f>0.072931*(1000000)</f>
        <v>72931</v>
      </c>
    </row>
    <row r="3573" spans="1:4" x14ac:dyDescent="0.25">
      <c r="A3573" s="2">
        <v>41122</v>
      </c>
      <c r="B3573" s="1" t="s">
        <v>22</v>
      </c>
      <c r="C3573" s="1">
        <v>0</v>
      </c>
      <c r="D3573" s="1">
        <f>0.076278*(1000000)</f>
        <v>76278</v>
      </c>
    </row>
    <row r="3574" spans="1:4" x14ac:dyDescent="0.25">
      <c r="A3574" s="2">
        <v>41153</v>
      </c>
      <c r="B3574" s="1" t="s">
        <v>22</v>
      </c>
      <c r="C3574" s="1">
        <v>0</v>
      </c>
      <c r="D3574" s="1">
        <f>0.080117*(1000000)</f>
        <v>80117</v>
      </c>
    </row>
    <row r="3575" spans="1:4" x14ac:dyDescent="0.25">
      <c r="A3575" s="2">
        <v>41183</v>
      </c>
      <c r="B3575" s="1" t="s">
        <v>22</v>
      </c>
      <c r="C3575" s="1">
        <v>0</v>
      </c>
      <c r="D3575" s="1">
        <f>0.083275*(1000000)</f>
        <v>83275</v>
      </c>
    </row>
    <row r="3576" spans="1:4" x14ac:dyDescent="0.25">
      <c r="A3576" s="2">
        <v>41214</v>
      </c>
      <c r="B3576" s="1" t="s">
        <v>22</v>
      </c>
      <c r="C3576" s="1">
        <v>0</v>
      </c>
      <c r="D3576" s="1">
        <f>0.088336*(1000000)</f>
        <v>88336</v>
      </c>
    </row>
    <row r="3577" spans="1:4" x14ac:dyDescent="0.25">
      <c r="A3577" s="2">
        <v>41244</v>
      </c>
      <c r="B3577" s="1" t="s">
        <v>22</v>
      </c>
      <c r="C3577" s="1">
        <v>0</v>
      </c>
      <c r="D3577" s="1">
        <f>0.090575*(1000000)</f>
        <v>90575</v>
      </c>
    </row>
    <row r="3578" spans="1:4" x14ac:dyDescent="0.25">
      <c r="A3578" s="2">
        <v>41275</v>
      </c>
      <c r="B3578" s="1" t="s">
        <v>22</v>
      </c>
      <c r="C3578" s="1">
        <v>0</v>
      </c>
      <c r="D3578" s="1">
        <f>0.090708*(1000000)</f>
        <v>90708</v>
      </c>
    </row>
    <row r="3579" spans="1:4" x14ac:dyDescent="0.25">
      <c r="A3579" s="2">
        <v>41306</v>
      </c>
      <c r="B3579" s="1" t="s">
        <v>22</v>
      </c>
      <c r="C3579" s="1">
        <v>0</v>
      </c>
      <c r="D3579" s="1">
        <f>0.093255*(1000000)</f>
        <v>93255</v>
      </c>
    </row>
    <row r="3580" spans="1:4" x14ac:dyDescent="0.25">
      <c r="A3580" s="2">
        <v>41334</v>
      </c>
      <c r="B3580" s="1" t="s">
        <v>22</v>
      </c>
      <c r="C3580" s="1">
        <v>0</v>
      </c>
      <c r="D3580" s="1">
        <f>0.098003*(1000000)</f>
        <v>98003</v>
      </c>
    </row>
    <row r="3581" spans="1:4" x14ac:dyDescent="0.25">
      <c r="A3581" s="2">
        <v>41365</v>
      </c>
      <c r="B3581" s="1" t="s">
        <v>22</v>
      </c>
      <c r="C3581" s="1">
        <v>0</v>
      </c>
      <c r="D3581" s="1">
        <f>0.111346*(1000000)</f>
        <v>111346</v>
      </c>
    </row>
    <row r="3582" spans="1:4" x14ac:dyDescent="0.25">
      <c r="A3582" s="2">
        <v>41395</v>
      </c>
      <c r="B3582" s="1" t="s">
        <v>22</v>
      </c>
      <c r="C3582" s="1">
        <v>0</v>
      </c>
      <c r="D3582" s="1">
        <f>0.1183*(1000000)</f>
        <v>118300</v>
      </c>
    </row>
    <row r="3583" spans="1:4" x14ac:dyDescent="0.25">
      <c r="A3583" s="2">
        <v>41426</v>
      </c>
      <c r="B3583" s="1" t="s">
        <v>22</v>
      </c>
      <c r="C3583" s="1">
        <v>0</v>
      </c>
      <c r="D3583" s="1">
        <f>0.121344*(1000000)</f>
        <v>121344</v>
      </c>
    </row>
    <row r="3584" spans="1:4" x14ac:dyDescent="0.25">
      <c r="A3584" s="2">
        <v>41456</v>
      </c>
      <c r="B3584" s="1" t="s">
        <v>22</v>
      </c>
      <c r="C3584" s="1">
        <v>0</v>
      </c>
      <c r="D3584" s="1">
        <f>0.121214*(1000000)</f>
        <v>121214</v>
      </c>
    </row>
    <row r="3585" spans="1:4" x14ac:dyDescent="0.25">
      <c r="A3585" s="2">
        <v>41487</v>
      </c>
      <c r="B3585" s="1" t="s">
        <v>22</v>
      </c>
      <c r="C3585" s="1">
        <v>0</v>
      </c>
      <c r="D3585" s="1">
        <f>0.131399*(1000000)</f>
        <v>131399</v>
      </c>
    </row>
    <row r="3586" spans="1:4" x14ac:dyDescent="0.25">
      <c r="A3586" s="2">
        <v>41518</v>
      </c>
      <c r="B3586" s="1" t="s">
        <v>22</v>
      </c>
      <c r="C3586" s="1">
        <v>0</v>
      </c>
      <c r="D3586" s="1">
        <f>0.139193*(1000000)</f>
        <v>139193</v>
      </c>
    </row>
    <row r="3587" spans="1:4" x14ac:dyDescent="0.25">
      <c r="A3587" s="2">
        <v>41548</v>
      </c>
      <c r="B3587" s="1" t="s">
        <v>22</v>
      </c>
      <c r="C3587" s="1">
        <v>0</v>
      </c>
      <c r="D3587" s="1">
        <f>0.1356*(1000000)</f>
        <v>135600</v>
      </c>
    </row>
    <row r="3588" spans="1:4" x14ac:dyDescent="0.25">
      <c r="A3588" s="2">
        <v>41579</v>
      </c>
      <c r="B3588" s="1" t="s">
        <v>22</v>
      </c>
      <c r="C3588" s="1">
        <v>0</v>
      </c>
      <c r="D3588" s="1">
        <f>0.131318*(1000000)</f>
        <v>131318</v>
      </c>
    </row>
    <row r="3589" spans="1:4" x14ac:dyDescent="0.25">
      <c r="A3589" s="2">
        <v>41609</v>
      </c>
      <c r="B3589" s="1" t="s">
        <v>22</v>
      </c>
      <c r="C3589" s="1">
        <v>0</v>
      </c>
      <c r="D3589" s="1">
        <f>0.139171*(1000000)</f>
        <v>139171</v>
      </c>
    </row>
    <row r="3590" spans="1:4" x14ac:dyDescent="0.25">
      <c r="A3590" s="2">
        <v>41640</v>
      </c>
      <c r="B3590" s="1" t="s">
        <v>22</v>
      </c>
      <c r="C3590" s="1">
        <v>0</v>
      </c>
      <c r="D3590" s="1">
        <f>0.151077*(1000000)</f>
        <v>151077</v>
      </c>
    </row>
    <row r="3591" spans="1:4" x14ac:dyDescent="0.25">
      <c r="A3591" s="2">
        <v>41671</v>
      </c>
      <c r="B3591" s="1" t="s">
        <v>22</v>
      </c>
      <c r="C3591" s="1">
        <v>0</v>
      </c>
      <c r="D3591" s="1">
        <f>0.160653*(1000000)</f>
        <v>160653</v>
      </c>
    </row>
    <row r="3592" spans="1:4" x14ac:dyDescent="0.25">
      <c r="A3592" s="2">
        <v>41699</v>
      </c>
      <c r="B3592" s="1" t="s">
        <v>22</v>
      </c>
      <c r="C3592" s="1">
        <v>0</v>
      </c>
      <c r="D3592" s="1">
        <f>0.169225*(1000000)</f>
        <v>169225</v>
      </c>
    </row>
    <row r="3593" spans="1:4" x14ac:dyDescent="0.25">
      <c r="A3593" s="2">
        <v>41730</v>
      </c>
      <c r="B3593" s="1" t="s">
        <v>22</v>
      </c>
      <c r="C3593" s="1">
        <v>0</v>
      </c>
      <c r="D3593" s="1">
        <f>0.17563*(1000000)</f>
        <v>175630</v>
      </c>
    </row>
    <row r="3594" spans="1:4" x14ac:dyDescent="0.25">
      <c r="A3594" s="2">
        <v>41760</v>
      </c>
      <c r="B3594" s="1" t="s">
        <v>22</v>
      </c>
      <c r="C3594" s="1">
        <v>0</v>
      </c>
      <c r="D3594" s="1">
        <f>0.181787*(1000000)</f>
        <v>181787</v>
      </c>
    </row>
    <row r="3595" spans="1:4" x14ac:dyDescent="0.25">
      <c r="A3595" s="2">
        <v>41791</v>
      </c>
      <c r="B3595" s="1" t="s">
        <v>22</v>
      </c>
      <c r="C3595" s="1">
        <v>0</v>
      </c>
      <c r="D3595" s="1">
        <f>0.18829*(1000000)</f>
        <v>188290</v>
      </c>
    </row>
    <row r="3596" spans="1:4" x14ac:dyDescent="0.25">
      <c r="A3596" s="2">
        <v>41821</v>
      </c>
      <c r="B3596" s="1" t="s">
        <v>22</v>
      </c>
      <c r="C3596" s="1">
        <v>0</v>
      </c>
      <c r="D3596" s="1">
        <f>0.201057*(1000000)</f>
        <v>201057</v>
      </c>
    </row>
    <row r="3597" spans="1:4" x14ac:dyDescent="0.25">
      <c r="A3597" s="2">
        <v>41852</v>
      </c>
      <c r="B3597" s="1" t="s">
        <v>22</v>
      </c>
      <c r="C3597" s="1">
        <v>0</v>
      </c>
      <c r="D3597" s="1">
        <f>0.203413*(1000000)</f>
        <v>203413</v>
      </c>
    </row>
    <row r="3598" spans="1:4" x14ac:dyDescent="0.25">
      <c r="A3598" s="2">
        <v>41883</v>
      </c>
      <c r="B3598" s="1" t="s">
        <v>22</v>
      </c>
      <c r="C3598" s="1">
        <v>0</v>
      </c>
      <c r="D3598" s="1">
        <f>0.188705*(1000000)</f>
        <v>188705</v>
      </c>
    </row>
    <row r="3599" spans="1:4" x14ac:dyDescent="0.25">
      <c r="A3599" s="2">
        <v>41913</v>
      </c>
      <c r="B3599" s="1" t="s">
        <v>22</v>
      </c>
      <c r="C3599" s="1">
        <v>0</v>
      </c>
      <c r="D3599" s="1">
        <f>0.21829*(1000000)</f>
        <v>218290</v>
      </c>
    </row>
    <row r="3600" spans="1:4" x14ac:dyDescent="0.25">
      <c r="A3600" s="2">
        <v>41944</v>
      </c>
      <c r="B3600" s="1" t="s">
        <v>22</v>
      </c>
      <c r="C3600" s="1">
        <v>0</v>
      </c>
      <c r="D3600" s="1">
        <f>0.227264*(1000000)</f>
        <v>227264</v>
      </c>
    </row>
    <row r="3601" spans="1:4" x14ac:dyDescent="0.25">
      <c r="A3601" s="2">
        <v>41974</v>
      </c>
      <c r="B3601" s="1" t="s">
        <v>22</v>
      </c>
      <c r="C3601" s="1">
        <v>0</v>
      </c>
      <c r="D3601" s="1">
        <f>0.236525*(1000000)</f>
        <v>236525</v>
      </c>
    </row>
    <row r="3602" spans="1:4" x14ac:dyDescent="0.25">
      <c r="A3602" s="2">
        <v>36526</v>
      </c>
      <c r="B3602" s="1" t="s">
        <v>23</v>
      </c>
      <c r="C3602" s="1">
        <v>0</v>
      </c>
      <c r="D3602" s="1">
        <f>0.036474*(1000000)</f>
        <v>36474</v>
      </c>
    </row>
    <row r="3603" spans="1:4" x14ac:dyDescent="0.25">
      <c r="A3603" s="2">
        <v>36557</v>
      </c>
      <c r="B3603" s="1" t="s">
        <v>23</v>
      </c>
      <c r="C3603" s="1">
        <v>0</v>
      </c>
      <c r="D3603" s="1">
        <f>0.037356*(1000000)</f>
        <v>37356</v>
      </c>
    </row>
    <row r="3604" spans="1:4" x14ac:dyDescent="0.25">
      <c r="A3604" s="2">
        <v>36586</v>
      </c>
      <c r="B3604" s="1" t="s">
        <v>23</v>
      </c>
      <c r="C3604" s="1">
        <v>0</v>
      </c>
      <c r="D3604" s="1">
        <f>0.037747*(1000000)</f>
        <v>37747</v>
      </c>
    </row>
    <row r="3605" spans="1:4" x14ac:dyDescent="0.25">
      <c r="A3605" s="2">
        <v>36617</v>
      </c>
      <c r="B3605" s="1" t="s">
        <v>23</v>
      </c>
      <c r="C3605" s="1">
        <v>0</v>
      </c>
      <c r="D3605" s="1">
        <f>0.040307*(1000000)</f>
        <v>40307</v>
      </c>
    </row>
    <row r="3606" spans="1:4" x14ac:dyDescent="0.25">
      <c r="A3606" s="2">
        <v>36647</v>
      </c>
      <c r="B3606" s="1" t="s">
        <v>23</v>
      </c>
      <c r="C3606" s="1">
        <v>0</v>
      </c>
      <c r="D3606" s="1">
        <f>0.039821*(1000000)</f>
        <v>39821</v>
      </c>
    </row>
    <row r="3607" spans="1:4" x14ac:dyDescent="0.25">
      <c r="A3607" s="2">
        <v>36678</v>
      </c>
      <c r="B3607" s="1" t="s">
        <v>23</v>
      </c>
      <c r="C3607" s="1">
        <v>0</v>
      </c>
      <c r="D3607" s="1">
        <f>0.039401*(1000000)</f>
        <v>39401</v>
      </c>
    </row>
    <row r="3608" spans="1:4" x14ac:dyDescent="0.25">
      <c r="A3608" s="2">
        <v>36708</v>
      </c>
      <c r="B3608" s="1" t="s">
        <v>23</v>
      </c>
      <c r="C3608" s="1">
        <v>0</v>
      </c>
      <c r="D3608" s="1">
        <f>0.039708*(1000000)</f>
        <v>39708</v>
      </c>
    </row>
    <row r="3609" spans="1:4" x14ac:dyDescent="0.25">
      <c r="A3609" s="2">
        <v>36739</v>
      </c>
      <c r="B3609" s="1" t="s">
        <v>23</v>
      </c>
      <c r="C3609" s="1">
        <v>0</v>
      </c>
      <c r="D3609" s="1">
        <f>0.041337*(1000000)</f>
        <v>41337</v>
      </c>
    </row>
    <row r="3610" spans="1:4" x14ac:dyDescent="0.25">
      <c r="A3610" s="2">
        <v>36770</v>
      </c>
      <c r="B3610" s="1" t="s">
        <v>23</v>
      </c>
      <c r="C3610" s="1">
        <v>0</v>
      </c>
      <c r="D3610" s="1">
        <f>0.041001*(1000000)</f>
        <v>41001</v>
      </c>
    </row>
    <row r="3611" spans="1:4" x14ac:dyDescent="0.25">
      <c r="A3611" s="2">
        <v>36800</v>
      </c>
      <c r="B3611" s="1" t="s">
        <v>23</v>
      </c>
      <c r="C3611" s="1">
        <v>0</v>
      </c>
      <c r="D3611" s="1">
        <f>0.042013*(1000000)</f>
        <v>42013</v>
      </c>
    </row>
    <row r="3612" spans="1:4" x14ac:dyDescent="0.25">
      <c r="A3612" s="2">
        <v>36831</v>
      </c>
      <c r="B3612" s="1" t="s">
        <v>23</v>
      </c>
      <c r="C3612" s="1">
        <v>0</v>
      </c>
      <c r="D3612" s="1">
        <f>0.038918*(1000000)</f>
        <v>38918</v>
      </c>
    </row>
    <row r="3613" spans="1:4" x14ac:dyDescent="0.25">
      <c r="A3613" s="2">
        <v>36861</v>
      </c>
      <c r="B3613" s="1" t="s">
        <v>23</v>
      </c>
      <c r="C3613" s="1">
        <v>0</v>
      </c>
      <c r="D3613" s="1">
        <f>0.0382*(1000000)</f>
        <v>38200</v>
      </c>
    </row>
    <row r="3614" spans="1:4" x14ac:dyDescent="0.25">
      <c r="A3614" s="2">
        <v>36892</v>
      </c>
      <c r="B3614" s="1" t="s">
        <v>23</v>
      </c>
      <c r="C3614" s="1">
        <v>0</v>
      </c>
      <c r="D3614" s="1">
        <f>0.038751*(1000000)</f>
        <v>38751</v>
      </c>
    </row>
    <row r="3615" spans="1:4" x14ac:dyDescent="0.25">
      <c r="A3615" s="2">
        <v>36923</v>
      </c>
      <c r="B3615" s="1" t="s">
        <v>23</v>
      </c>
      <c r="C3615" s="1">
        <v>0</v>
      </c>
      <c r="D3615" s="1">
        <f>0.038349*(1000000)</f>
        <v>38349</v>
      </c>
    </row>
    <row r="3616" spans="1:4" x14ac:dyDescent="0.25">
      <c r="A3616" s="2">
        <v>36951</v>
      </c>
      <c r="B3616" s="1" t="s">
        <v>23</v>
      </c>
      <c r="C3616" s="1">
        <v>0</v>
      </c>
      <c r="D3616" s="1">
        <f>0.038964*(1000000)</f>
        <v>38964</v>
      </c>
    </row>
    <row r="3617" spans="1:4" x14ac:dyDescent="0.25">
      <c r="A3617" s="2">
        <v>36982</v>
      </c>
      <c r="B3617" s="1" t="s">
        <v>23</v>
      </c>
      <c r="C3617" s="1">
        <v>0</v>
      </c>
      <c r="D3617" s="1">
        <f>0.037157*(1000000)</f>
        <v>37157</v>
      </c>
    </row>
    <row r="3618" spans="1:4" x14ac:dyDescent="0.25">
      <c r="A3618" s="2">
        <v>37012</v>
      </c>
      <c r="B3618" s="1" t="s">
        <v>23</v>
      </c>
      <c r="C3618" s="1">
        <v>0</v>
      </c>
      <c r="D3618" s="1">
        <f>0.036426*(1000000)</f>
        <v>36426</v>
      </c>
    </row>
    <row r="3619" spans="1:4" x14ac:dyDescent="0.25">
      <c r="A3619" s="2">
        <v>37043</v>
      </c>
      <c r="B3619" s="1" t="s">
        <v>23</v>
      </c>
      <c r="C3619" s="1">
        <v>0</v>
      </c>
      <c r="D3619" s="1">
        <f>0.036468*(1000000)</f>
        <v>36468</v>
      </c>
    </row>
    <row r="3620" spans="1:4" x14ac:dyDescent="0.25">
      <c r="A3620" s="2">
        <v>37073</v>
      </c>
      <c r="B3620" s="1" t="s">
        <v>23</v>
      </c>
      <c r="C3620" s="1">
        <v>0</v>
      </c>
      <c r="D3620" s="1">
        <f>0.036555*(1000000)</f>
        <v>36555</v>
      </c>
    </row>
    <row r="3621" spans="1:4" x14ac:dyDescent="0.25">
      <c r="A3621" s="2">
        <v>37104</v>
      </c>
      <c r="B3621" s="1" t="s">
        <v>23</v>
      </c>
      <c r="C3621" s="1">
        <v>0</v>
      </c>
      <c r="D3621" s="1">
        <f>0.036578*(1000000)</f>
        <v>36578</v>
      </c>
    </row>
    <row r="3622" spans="1:4" x14ac:dyDescent="0.25">
      <c r="A3622" s="2">
        <v>37135</v>
      </c>
      <c r="B3622" s="1" t="s">
        <v>23</v>
      </c>
      <c r="C3622" s="1">
        <v>0</v>
      </c>
      <c r="D3622" s="1">
        <f>0.035187*(1000000)</f>
        <v>35187</v>
      </c>
    </row>
    <row r="3623" spans="1:4" x14ac:dyDescent="0.25">
      <c r="A3623" s="2">
        <v>37165</v>
      </c>
      <c r="B3623" s="1" t="s">
        <v>23</v>
      </c>
      <c r="C3623" s="1">
        <v>0</v>
      </c>
      <c r="D3623" s="1">
        <f>0.033937*(1000000)</f>
        <v>33937</v>
      </c>
    </row>
    <row r="3624" spans="1:4" x14ac:dyDescent="0.25">
      <c r="A3624" s="2">
        <v>37196</v>
      </c>
      <c r="B3624" s="1" t="s">
        <v>23</v>
      </c>
      <c r="C3624" s="1">
        <v>0</v>
      </c>
      <c r="D3624" s="1">
        <f>0.034021*(1000000)</f>
        <v>34021</v>
      </c>
    </row>
    <row r="3625" spans="1:4" x14ac:dyDescent="0.25">
      <c r="A3625" s="2">
        <v>37226</v>
      </c>
      <c r="B3625" s="1" t="s">
        <v>23</v>
      </c>
      <c r="C3625" s="1">
        <v>0</v>
      </c>
      <c r="D3625" s="1">
        <f>0.03393*(1000000)</f>
        <v>33930</v>
      </c>
    </row>
    <row r="3626" spans="1:4" x14ac:dyDescent="0.25">
      <c r="A3626" s="2">
        <v>37257</v>
      </c>
      <c r="B3626" s="1" t="s">
        <v>23</v>
      </c>
      <c r="C3626" s="1">
        <v>0</v>
      </c>
      <c r="D3626" s="1">
        <f>0.034274*(1000000)</f>
        <v>34274</v>
      </c>
    </row>
    <row r="3627" spans="1:4" x14ac:dyDescent="0.25">
      <c r="A3627" s="2">
        <v>37288</v>
      </c>
      <c r="B3627" s="1" t="s">
        <v>23</v>
      </c>
      <c r="C3627" s="1">
        <v>0</v>
      </c>
      <c r="D3627" s="1">
        <f>0.034734*(1000000)</f>
        <v>34734</v>
      </c>
    </row>
    <row r="3628" spans="1:4" x14ac:dyDescent="0.25">
      <c r="A3628" s="2">
        <v>37316</v>
      </c>
      <c r="B3628" s="1" t="s">
        <v>23</v>
      </c>
      <c r="C3628" s="1">
        <v>0</v>
      </c>
      <c r="D3628" s="1">
        <f>0.034807*(1000000)</f>
        <v>34807</v>
      </c>
    </row>
    <row r="3629" spans="1:4" x14ac:dyDescent="0.25">
      <c r="A3629" s="2">
        <v>37347</v>
      </c>
      <c r="B3629" s="1" t="s">
        <v>23</v>
      </c>
      <c r="C3629" s="1">
        <v>0</v>
      </c>
      <c r="D3629" s="1">
        <f>0.03626*(1000000)</f>
        <v>36260</v>
      </c>
    </row>
    <row r="3630" spans="1:4" x14ac:dyDescent="0.25">
      <c r="A3630" s="2">
        <v>37377</v>
      </c>
      <c r="B3630" s="1" t="s">
        <v>23</v>
      </c>
      <c r="C3630" s="1">
        <v>0</v>
      </c>
      <c r="D3630" s="1">
        <f>0.037846*(1000000)</f>
        <v>37846</v>
      </c>
    </row>
    <row r="3631" spans="1:4" x14ac:dyDescent="0.25">
      <c r="A3631" s="2">
        <v>37408</v>
      </c>
      <c r="B3631" s="1" t="s">
        <v>23</v>
      </c>
      <c r="C3631" s="1">
        <v>0</v>
      </c>
      <c r="D3631" s="1">
        <f>0.037335*(1000000)</f>
        <v>37335</v>
      </c>
    </row>
    <row r="3632" spans="1:4" x14ac:dyDescent="0.25">
      <c r="A3632" s="2">
        <v>37438</v>
      </c>
      <c r="B3632" s="1" t="s">
        <v>23</v>
      </c>
      <c r="C3632" s="1">
        <v>0</v>
      </c>
      <c r="D3632" s="1">
        <f>0.035687*(1000000)</f>
        <v>35687</v>
      </c>
    </row>
    <row r="3633" spans="1:4" x14ac:dyDescent="0.25">
      <c r="A3633" s="2">
        <v>37469</v>
      </c>
      <c r="B3633" s="1" t="s">
        <v>23</v>
      </c>
      <c r="C3633" s="1">
        <v>0</v>
      </c>
      <c r="D3633" s="1">
        <f>0.036165*(1000000)</f>
        <v>36165</v>
      </c>
    </row>
    <row r="3634" spans="1:4" x14ac:dyDescent="0.25">
      <c r="A3634" s="2">
        <v>37500</v>
      </c>
      <c r="B3634" s="1" t="s">
        <v>23</v>
      </c>
      <c r="C3634" s="1">
        <v>0</v>
      </c>
      <c r="D3634" s="1">
        <f>0.037153*(1000000)</f>
        <v>37153</v>
      </c>
    </row>
    <row r="3635" spans="1:4" x14ac:dyDescent="0.25">
      <c r="A3635" s="2">
        <v>37530</v>
      </c>
      <c r="B3635" s="1" t="s">
        <v>23</v>
      </c>
      <c r="C3635" s="1">
        <v>0</v>
      </c>
      <c r="D3635" s="1">
        <f>0.037165*(1000000)</f>
        <v>37165</v>
      </c>
    </row>
    <row r="3636" spans="1:4" x14ac:dyDescent="0.25">
      <c r="A3636" s="2">
        <v>37561</v>
      </c>
      <c r="B3636" s="1" t="s">
        <v>23</v>
      </c>
      <c r="C3636" s="1">
        <v>0</v>
      </c>
      <c r="D3636" s="1">
        <f>0.039583*(1000000)</f>
        <v>39583</v>
      </c>
    </row>
    <row r="3637" spans="1:4" x14ac:dyDescent="0.25">
      <c r="A3637" s="2">
        <v>37591</v>
      </c>
      <c r="B3637" s="1" t="s">
        <v>23</v>
      </c>
      <c r="C3637" s="1">
        <v>0</v>
      </c>
      <c r="D3637" s="1">
        <f>0.039277*(1000000)</f>
        <v>39277</v>
      </c>
    </row>
    <row r="3638" spans="1:4" x14ac:dyDescent="0.25">
      <c r="A3638" s="2">
        <v>37622</v>
      </c>
      <c r="B3638" s="1" t="s">
        <v>23</v>
      </c>
      <c r="C3638" s="1">
        <v>0</v>
      </c>
      <c r="D3638" s="1">
        <f>0.038036*(1000000)</f>
        <v>38036</v>
      </c>
    </row>
    <row r="3639" spans="1:4" x14ac:dyDescent="0.25">
      <c r="A3639" s="2">
        <v>37653</v>
      </c>
      <c r="B3639" s="1" t="s">
        <v>23</v>
      </c>
      <c r="C3639" s="1">
        <v>0</v>
      </c>
      <c r="D3639" s="1">
        <f>0.03755*(1000000)</f>
        <v>37550</v>
      </c>
    </row>
    <row r="3640" spans="1:4" x14ac:dyDescent="0.25">
      <c r="A3640" s="2">
        <v>37681</v>
      </c>
      <c r="B3640" s="1" t="s">
        <v>23</v>
      </c>
      <c r="C3640" s="1">
        <v>0</v>
      </c>
      <c r="D3640" s="1">
        <f>0.036666*(1000000)</f>
        <v>36666</v>
      </c>
    </row>
    <row r="3641" spans="1:4" x14ac:dyDescent="0.25">
      <c r="A3641" s="2">
        <v>37712</v>
      </c>
      <c r="B3641" s="1" t="s">
        <v>23</v>
      </c>
      <c r="C3641" s="1">
        <v>0</v>
      </c>
      <c r="D3641" s="1">
        <f>0.03515*(1000000)</f>
        <v>35150</v>
      </c>
    </row>
    <row r="3642" spans="1:4" x14ac:dyDescent="0.25">
      <c r="A3642" s="2">
        <v>37742</v>
      </c>
      <c r="B3642" s="1" t="s">
        <v>23</v>
      </c>
      <c r="C3642" s="1">
        <v>0</v>
      </c>
      <c r="D3642" s="1">
        <f>0.035549*(1000000)</f>
        <v>35549</v>
      </c>
    </row>
    <row r="3643" spans="1:4" x14ac:dyDescent="0.25">
      <c r="A3643" s="2">
        <v>37773</v>
      </c>
      <c r="B3643" s="1" t="s">
        <v>23</v>
      </c>
      <c r="C3643" s="1">
        <v>0</v>
      </c>
      <c r="D3643" s="1">
        <f>0.035338*(1000000)</f>
        <v>35338</v>
      </c>
    </row>
    <row r="3644" spans="1:4" x14ac:dyDescent="0.25">
      <c r="A3644" s="2">
        <v>37803</v>
      </c>
      <c r="B3644" s="1" t="s">
        <v>23</v>
      </c>
      <c r="C3644" s="1">
        <v>0</v>
      </c>
      <c r="D3644" s="1">
        <f>0.03565*(1000000)</f>
        <v>35650</v>
      </c>
    </row>
    <row r="3645" spans="1:4" x14ac:dyDescent="0.25">
      <c r="A3645" s="2">
        <v>37834</v>
      </c>
      <c r="B3645" s="1" t="s">
        <v>23</v>
      </c>
      <c r="C3645" s="1">
        <v>0</v>
      </c>
      <c r="D3645" s="1">
        <f>0.035842*(1000000)</f>
        <v>35842</v>
      </c>
    </row>
    <row r="3646" spans="1:4" x14ac:dyDescent="0.25">
      <c r="A3646" s="2">
        <v>37865</v>
      </c>
      <c r="B3646" s="1" t="s">
        <v>23</v>
      </c>
      <c r="C3646" s="1">
        <v>0</v>
      </c>
      <c r="D3646" s="1">
        <f>0.035121*(1000000)</f>
        <v>35121</v>
      </c>
    </row>
    <row r="3647" spans="1:4" x14ac:dyDescent="0.25">
      <c r="A3647" s="2">
        <v>37895</v>
      </c>
      <c r="B3647" s="1" t="s">
        <v>23</v>
      </c>
      <c r="C3647" s="1">
        <v>0</v>
      </c>
      <c r="D3647" s="1">
        <f>0.035402*(1000000)</f>
        <v>35402</v>
      </c>
    </row>
    <row r="3648" spans="1:4" x14ac:dyDescent="0.25">
      <c r="A3648" s="2">
        <v>37926</v>
      </c>
      <c r="B3648" s="1" t="s">
        <v>23</v>
      </c>
      <c r="C3648" s="1">
        <v>0</v>
      </c>
      <c r="D3648" s="1">
        <f>0.035377*(1000000)</f>
        <v>35377</v>
      </c>
    </row>
    <row r="3649" spans="1:4" x14ac:dyDescent="0.25">
      <c r="A3649" s="2">
        <v>37956</v>
      </c>
      <c r="B3649" s="1" t="s">
        <v>23</v>
      </c>
      <c r="C3649" s="1">
        <v>0</v>
      </c>
      <c r="D3649" s="1">
        <f>0.034522*(1000000)</f>
        <v>34522</v>
      </c>
    </row>
    <row r="3650" spans="1:4" x14ac:dyDescent="0.25">
      <c r="A3650" s="2">
        <v>37987</v>
      </c>
      <c r="B3650" s="1" t="s">
        <v>23</v>
      </c>
      <c r="C3650" s="1">
        <v>0</v>
      </c>
      <c r="D3650" s="1">
        <f>0.034006*(1000000)</f>
        <v>34006</v>
      </c>
    </row>
    <row r="3651" spans="1:4" x14ac:dyDescent="0.25">
      <c r="A3651" s="2">
        <v>38018</v>
      </c>
      <c r="B3651" s="1" t="s">
        <v>23</v>
      </c>
      <c r="C3651" s="1">
        <v>0</v>
      </c>
      <c r="D3651" s="1">
        <f>0.033799*(1000000)</f>
        <v>33799</v>
      </c>
    </row>
    <row r="3652" spans="1:4" x14ac:dyDescent="0.25">
      <c r="A3652" s="2">
        <v>38047</v>
      </c>
      <c r="B3652" s="1" t="s">
        <v>23</v>
      </c>
      <c r="C3652" s="1">
        <v>0</v>
      </c>
      <c r="D3652" s="1">
        <f>0.032448*(1000000)</f>
        <v>32447.999999999996</v>
      </c>
    </row>
    <row r="3653" spans="1:4" x14ac:dyDescent="0.25">
      <c r="A3653" s="2">
        <v>38078</v>
      </c>
      <c r="B3653" s="1" t="s">
        <v>23</v>
      </c>
      <c r="C3653" s="1">
        <v>0</v>
      </c>
      <c r="D3653" s="1">
        <f>0.032082*(1000000)</f>
        <v>32082</v>
      </c>
    </row>
    <row r="3654" spans="1:4" x14ac:dyDescent="0.25">
      <c r="A3654" s="2">
        <v>38108</v>
      </c>
      <c r="B3654" s="1" t="s">
        <v>23</v>
      </c>
      <c r="C3654" s="1">
        <v>0</v>
      </c>
      <c r="D3654" s="1">
        <f>0.031062*(1000000)</f>
        <v>31062</v>
      </c>
    </row>
    <row r="3655" spans="1:4" x14ac:dyDescent="0.25">
      <c r="A3655" s="2">
        <v>38139</v>
      </c>
      <c r="B3655" s="1" t="s">
        <v>23</v>
      </c>
      <c r="C3655" s="1">
        <v>0</v>
      </c>
      <c r="D3655" s="1">
        <f>0.030757*(1000000)</f>
        <v>30757</v>
      </c>
    </row>
    <row r="3656" spans="1:4" x14ac:dyDescent="0.25">
      <c r="A3656" s="2">
        <v>38169</v>
      </c>
      <c r="B3656" s="1" t="s">
        <v>23</v>
      </c>
      <c r="C3656" s="1">
        <v>0</v>
      </c>
      <c r="D3656" s="1">
        <f>0.031088*(1000000)</f>
        <v>31088</v>
      </c>
    </row>
    <row r="3657" spans="1:4" x14ac:dyDescent="0.25">
      <c r="A3657" s="2">
        <v>38200</v>
      </c>
      <c r="B3657" s="1" t="s">
        <v>23</v>
      </c>
      <c r="C3657" s="1">
        <v>0</v>
      </c>
      <c r="D3657" s="1">
        <f>0.031748*(1000000)</f>
        <v>31748</v>
      </c>
    </row>
    <row r="3658" spans="1:4" x14ac:dyDescent="0.25">
      <c r="A3658" s="2">
        <v>38231</v>
      </c>
      <c r="B3658" s="1" t="s">
        <v>23</v>
      </c>
      <c r="C3658" s="1">
        <v>0</v>
      </c>
      <c r="D3658" s="1">
        <f>0.030959*(1000000)</f>
        <v>30959</v>
      </c>
    </row>
    <row r="3659" spans="1:4" x14ac:dyDescent="0.25">
      <c r="A3659" s="2">
        <v>38261</v>
      </c>
      <c r="B3659" s="1" t="s">
        <v>23</v>
      </c>
      <c r="C3659" s="1">
        <v>0</v>
      </c>
      <c r="D3659" s="1">
        <f>0.030833*(1000000)</f>
        <v>30833</v>
      </c>
    </row>
    <row r="3660" spans="1:4" x14ac:dyDescent="0.25">
      <c r="A3660" s="2">
        <v>38292</v>
      </c>
      <c r="B3660" s="1" t="s">
        <v>23</v>
      </c>
      <c r="C3660" s="1">
        <v>0</v>
      </c>
      <c r="D3660" s="1">
        <f>0.031728*(1000000)</f>
        <v>31728</v>
      </c>
    </row>
    <row r="3661" spans="1:4" x14ac:dyDescent="0.25">
      <c r="A3661" s="2">
        <v>38322</v>
      </c>
      <c r="B3661" s="1" t="s">
        <v>23</v>
      </c>
      <c r="C3661" s="1">
        <v>0</v>
      </c>
      <c r="D3661" s="1">
        <f>0.032038*(1000000)</f>
        <v>32037.999999999996</v>
      </c>
    </row>
    <row r="3662" spans="1:4" x14ac:dyDescent="0.25">
      <c r="A3662" s="2">
        <v>38353</v>
      </c>
      <c r="B3662" s="1" t="s">
        <v>23</v>
      </c>
      <c r="C3662" s="1">
        <v>0</v>
      </c>
      <c r="D3662" s="1">
        <f>0.031731*(1000000)</f>
        <v>31731.000000000004</v>
      </c>
    </row>
    <row r="3663" spans="1:4" x14ac:dyDescent="0.25">
      <c r="A3663" s="2">
        <v>38384</v>
      </c>
      <c r="B3663" s="1" t="s">
        <v>23</v>
      </c>
      <c r="C3663" s="1">
        <v>0</v>
      </c>
      <c r="D3663" s="1">
        <f>0.032502*(1000000)</f>
        <v>32502.000000000004</v>
      </c>
    </row>
    <row r="3664" spans="1:4" x14ac:dyDescent="0.25">
      <c r="A3664" s="2">
        <v>38412</v>
      </c>
      <c r="B3664" s="1" t="s">
        <v>23</v>
      </c>
      <c r="C3664" s="1">
        <v>0</v>
      </c>
      <c r="D3664" s="1">
        <f>0.031987*(1000000)</f>
        <v>31987</v>
      </c>
    </row>
    <row r="3665" spans="1:4" x14ac:dyDescent="0.25">
      <c r="A3665" s="2">
        <v>38443</v>
      </c>
      <c r="B3665" s="1" t="s">
        <v>23</v>
      </c>
      <c r="C3665" s="1">
        <v>0</v>
      </c>
      <c r="D3665" s="1">
        <f>0.031452*(1000000)</f>
        <v>31452</v>
      </c>
    </row>
    <row r="3666" spans="1:4" x14ac:dyDescent="0.25">
      <c r="A3666" s="2">
        <v>38473</v>
      </c>
      <c r="B3666" s="1" t="s">
        <v>23</v>
      </c>
      <c r="C3666" s="1">
        <v>0</v>
      </c>
      <c r="D3666" s="1">
        <f>0.031198*(1000000)</f>
        <v>31198</v>
      </c>
    </row>
    <row r="3667" spans="1:4" x14ac:dyDescent="0.25">
      <c r="A3667" s="2">
        <v>38504</v>
      </c>
      <c r="B3667" s="1" t="s">
        <v>23</v>
      </c>
      <c r="C3667" s="1">
        <v>0</v>
      </c>
      <c r="D3667" s="1">
        <f>0.030998*(1000000)</f>
        <v>30998</v>
      </c>
    </row>
    <row r="3668" spans="1:4" x14ac:dyDescent="0.25">
      <c r="A3668" s="2">
        <v>38534</v>
      </c>
      <c r="B3668" s="1" t="s">
        <v>23</v>
      </c>
      <c r="C3668" s="1">
        <v>0</v>
      </c>
      <c r="D3668" s="1">
        <f>0.030153*(1000000)</f>
        <v>30153</v>
      </c>
    </row>
    <row r="3669" spans="1:4" x14ac:dyDescent="0.25">
      <c r="A3669" s="2">
        <v>38565</v>
      </c>
      <c r="B3669" s="1" t="s">
        <v>23</v>
      </c>
      <c r="C3669" s="1">
        <v>0</v>
      </c>
      <c r="D3669" s="1">
        <f>0.03083*(1000000)</f>
        <v>30830</v>
      </c>
    </row>
    <row r="3670" spans="1:4" x14ac:dyDescent="0.25">
      <c r="A3670" s="2">
        <v>38596</v>
      </c>
      <c r="B3670" s="1" t="s">
        <v>23</v>
      </c>
      <c r="C3670" s="1">
        <v>0</v>
      </c>
      <c r="D3670" s="1">
        <f>0.030587*(1000000)</f>
        <v>30587</v>
      </c>
    </row>
    <row r="3671" spans="1:4" x14ac:dyDescent="0.25">
      <c r="A3671" s="2">
        <v>38626</v>
      </c>
      <c r="B3671" s="1" t="s">
        <v>23</v>
      </c>
      <c r="C3671" s="1">
        <v>0</v>
      </c>
      <c r="D3671" s="1">
        <f>0.031763*(1000000)</f>
        <v>31763</v>
      </c>
    </row>
    <row r="3672" spans="1:4" x14ac:dyDescent="0.25">
      <c r="A3672" s="2">
        <v>38657</v>
      </c>
      <c r="B3672" s="1" t="s">
        <v>23</v>
      </c>
      <c r="C3672" s="1">
        <v>0</v>
      </c>
      <c r="D3672" s="1">
        <f>0.032024*(1000000)</f>
        <v>32023.999999999996</v>
      </c>
    </row>
    <row r="3673" spans="1:4" x14ac:dyDescent="0.25">
      <c r="A3673" s="2">
        <v>38687</v>
      </c>
      <c r="B3673" s="1" t="s">
        <v>23</v>
      </c>
      <c r="C3673" s="1">
        <v>0</v>
      </c>
      <c r="D3673" s="1">
        <f>0.030999*(1000000)</f>
        <v>30999</v>
      </c>
    </row>
    <row r="3674" spans="1:4" x14ac:dyDescent="0.25">
      <c r="A3674" s="2">
        <v>38718</v>
      </c>
      <c r="B3674" s="1" t="s">
        <v>23</v>
      </c>
      <c r="C3674" s="1">
        <v>0</v>
      </c>
      <c r="D3674" s="1">
        <f>0.031918*(1000000)</f>
        <v>31918.000000000004</v>
      </c>
    </row>
    <row r="3675" spans="1:4" x14ac:dyDescent="0.25">
      <c r="A3675" s="2">
        <v>38749</v>
      </c>
      <c r="B3675" s="1" t="s">
        <v>23</v>
      </c>
      <c r="C3675" s="1">
        <v>0</v>
      </c>
      <c r="D3675" s="1">
        <f>0.032253*(1000000)</f>
        <v>32252.999999999996</v>
      </c>
    </row>
    <row r="3676" spans="1:4" x14ac:dyDescent="0.25">
      <c r="A3676" s="2">
        <v>38777</v>
      </c>
      <c r="B3676" s="1" t="s">
        <v>23</v>
      </c>
      <c r="C3676" s="1">
        <v>0</v>
      </c>
      <c r="D3676" s="1">
        <f>0.0329*(1000000)</f>
        <v>32900</v>
      </c>
    </row>
    <row r="3677" spans="1:4" x14ac:dyDescent="0.25">
      <c r="A3677" s="2">
        <v>38808</v>
      </c>
      <c r="B3677" s="1" t="s">
        <v>23</v>
      </c>
      <c r="C3677" s="1">
        <v>0</v>
      </c>
      <c r="D3677" s="1">
        <f>0.031983*(1000000)</f>
        <v>31982.999999999996</v>
      </c>
    </row>
    <row r="3678" spans="1:4" x14ac:dyDescent="0.25">
      <c r="A3678" s="2">
        <v>38838</v>
      </c>
      <c r="B3678" s="1" t="s">
        <v>23</v>
      </c>
      <c r="C3678" s="1">
        <v>0</v>
      </c>
      <c r="D3678" s="1">
        <f>0.031829*(1000000)</f>
        <v>31829.000000000004</v>
      </c>
    </row>
    <row r="3679" spans="1:4" x14ac:dyDescent="0.25">
      <c r="A3679" s="2">
        <v>38869</v>
      </c>
      <c r="B3679" s="1" t="s">
        <v>23</v>
      </c>
      <c r="C3679" s="1">
        <v>0</v>
      </c>
      <c r="D3679" s="1">
        <f>0.031129*(1000000)</f>
        <v>31129</v>
      </c>
    </row>
    <row r="3680" spans="1:4" x14ac:dyDescent="0.25">
      <c r="A3680" s="2">
        <v>38899</v>
      </c>
      <c r="B3680" s="1" t="s">
        <v>23</v>
      </c>
      <c r="C3680" s="1">
        <v>0</v>
      </c>
      <c r="D3680" s="1">
        <f>0.0309*(1000000)</f>
        <v>30900</v>
      </c>
    </row>
    <row r="3681" spans="1:4" x14ac:dyDescent="0.25">
      <c r="A3681" s="2">
        <v>38930</v>
      </c>
      <c r="B3681" s="1" t="s">
        <v>23</v>
      </c>
      <c r="C3681" s="1">
        <v>0</v>
      </c>
      <c r="D3681" s="1">
        <f>0.029323*(1000000)</f>
        <v>29323</v>
      </c>
    </row>
    <row r="3682" spans="1:4" x14ac:dyDescent="0.25">
      <c r="A3682" s="2">
        <v>38961</v>
      </c>
      <c r="B3682" s="1" t="s">
        <v>23</v>
      </c>
      <c r="C3682" s="1">
        <v>0</v>
      </c>
      <c r="D3682" s="1">
        <f>0.0308*(1000000)</f>
        <v>30800</v>
      </c>
    </row>
    <row r="3683" spans="1:4" x14ac:dyDescent="0.25">
      <c r="A3683" s="2">
        <v>38991</v>
      </c>
      <c r="B3683" s="1" t="s">
        <v>23</v>
      </c>
      <c r="C3683" s="1">
        <v>0</v>
      </c>
      <c r="D3683" s="1">
        <f>0.032333*(1000000)</f>
        <v>32333</v>
      </c>
    </row>
    <row r="3684" spans="1:4" x14ac:dyDescent="0.25">
      <c r="A3684" s="2">
        <v>39022</v>
      </c>
      <c r="B3684" s="1" t="s">
        <v>23</v>
      </c>
      <c r="C3684" s="1">
        <v>0</v>
      </c>
      <c r="D3684" s="1">
        <f>0.032578*(1000000)</f>
        <v>32578.000000000004</v>
      </c>
    </row>
    <row r="3685" spans="1:4" x14ac:dyDescent="0.25">
      <c r="A3685" s="2">
        <v>39052</v>
      </c>
      <c r="B3685" s="1" t="s">
        <v>23</v>
      </c>
      <c r="C3685" s="1">
        <v>0</v>
      </c>
      <c r="D3685" s="1">
        <f>0.03258*(1000000)</f>
        <v>32579.999999999996</v>
      </c>
    </row>
    <row r="3686" spans="1:4" x14ac:dyDescent="0.25">
      <c r="A3686" s="2">
        <v>39083</v>
      </c>
      <c r="B3686" s="1" t="s">
        <v>23</v>
      </c>
      <c r="C3686" s="1">
        <v>0</v>
      </c>
      <c r="D3686" s="1">
        <f>0.032624*(1000000)</f>
        <v>32624</v>
      </c>
    </row>
    <row r="3687" spans="1:4" x14ac:dyDescent="0.25">
      <c r="A3687" s="2">
        <v>39114</v>
      </c>
      <c r="B3687" s="1" t="s">
        <v>23</v>
      </c>
      <c r="C3687" s="1">
        <v>0</v>
      </c>
      <c r="D3687" s="1">
        <f>0.03311*(1000000)</f>
        <v>33110</v>
      </c>
    </row>
    <row r="3688" spans="1:4" x14ac:dyDescent="0.25">
      <c r="A3688" s="2">
        <v>39142</v>
      </c>
      <c r="B3688" s="1" t="s">
        <v>23</v>
      </c>
      <c r="C3688" s="1">
        <v>0</v>
      </c>
      <c r="D3688" s="1">
        <f>0.033002*(1000000)</f>
        <v>33002</v>
      </c>
    </row>
    <row r="3689" spans="1:4" x14ac:dyDescent="0.25">
      <c r="A3689" s="2">
        <v>39173</v>
      </c>
      <c r="B3689" s="1" t="s">
        <v>23</v>
      </c>
      <c r="C3689" s="1">
        <v>0</v>
      </c>
      <c r="D3689" s="1">
        <f>0.033309*(1000000)</f>
        <v>33309</v>
      </c>
    </row>
    <row r="3690" spans="1:4" x14ac:dyDescent="0.25">
      <c r="A3690" s="2">
        <v>39203</v>
      </c>
      <c r="B3690" s="1" t="s">
        <v>23</v>
      </c>
      <c r="C3690" s="1">
        <v>0</v>
      </c>
      <c r="D3690" s="1">
        <f>0.03393*(1000000)</f>
        <v>33930</v>
      </c>
    </row>
    <row r="3691" spans="1:4" x14ac:dyDescent="0.25">
      <c r="A3691" s="2">
        <v>39234</v>
      </c>
      <c r="B3691" s="1" t="s">
        <v>23</v>
      </c>
      <c r="C3691" s="1">
        <v>0</v>
      </c>
      <c r="D3691" s="1">
        <f>0.033721*(1000000)</f>
        <v>33721</v>
      </c>
    </row>
    <row r="3692" spans="1:4" x14ac:dyDescent="0.25">
      <c r="A3692" s="2">
        <v>39264</v>
      </c>
      <c r="B3692" s="1" t="s">
        <v>23</v>
      </c>
      <c r="C3692" s="1">
        <v>0</v>
      </c>
      <c r="D3692" s="1">
        <f>0.034129*(1000000)</f>
        <v>34129</v>
      </c>
    </row>
    <row r="3693" spans="1:4" x14ac:dyDescent="0.25">
      <c r="A3693" s="2">
        <v>39295</v>
      </c>
      <c r="B3693" s="1" t="s">
        <v>23</v>
      </c>
      <c r="C3693" s="1">
        <v>0</v>
      </c>
      <c r="D3693" s="1">
        <f>0.033295*(1000000)</f>
        <v>33295</v>
      </c>
    </row>
    <row r="3694" spans="1:4" x14ac:dyDescent="0.25">
      <c r="A3694" s="2">
        <v>39326</v>
      </c>
      <c r="B3694" s="1" t="s">
        <v>23</v>
      </c>
      <c r="C3694" s="1">
        <v>0</v>
      </c>
      <c r="D3694" s="1">
        <f>0.03382*(1000000)</f>
        <v>33820</v>
      </c>
    </row>
    <row r="3695" spans="1:4" x14ac:dyDescent="0.25">
      <c r="A3695" s="2">
        <v>39356</v>
      </c>
      <c r="B3695" s="1" t="s">
        <v>23</v>
      </c>
      <c r="C3695" s="1">
        <v>0</v>
      </c>
      <c r="D3695" s="1">
        <f>0.033514*(1000000)</f>
        <v>33514</v>
      </c>
    </row>
    <row r="3696" spans="1:4" x14ac:dyDescent="0.25">
      <c r="A3696" s="2">
        <v>39387</v>
      </c>
      <c r="B3696" s="1" t="s">
        <v>23</v>
      </c>
      <c r="C3696" s="1">
        <v>0</v>
      </c>
      <c r="D3696" s="1">
        <f>0.034465*(1000000)</f>
        <v>34465</v>
      </c>
    </row>
    <row r="3697" spans="1:4" x14ac:dyDescent="0.25">
      <c r="A3697" s="2">
        <v>39417</v>
      </c>
      <c r="B3697" s="1" t="s">
        <v>23</v>
      </c>
      <c r="C3697" s="1">
        <v>0</v>
      </c>
      <c r="D3697" s="1">
        <f>0.034526*(1000000)</f>
        <v>34526</v>
      </c>
    </row>
    <row r="3698" spans="1:4" x14ac:dyDescent="0.25">
      <c r="A3698" s="2">
        <v>39448</v>
      </c>
      <c r="B3698" s="1" t="s">
        <v>23</v>
      </c>
      <c r="C3698" s="1">
        <v>0</v>
      </c>
      <c r="D3698" s="1">
        <f>0.034621*(1000000)</f>
        <v>34621</v>
      </c>
    </row>
    <row r="3699" spans="1:4" x14ac:dyDescent="0.25">
      <c r="A3699" s="2">
        <v>39479</v>
      </c>
      <c r="B3699" s="1" t="s">
        <v>23</v>
      </c>
      <c r="C3699" s="1">
        <v>0</v>
      </c>
      <c r="D3699" s="1">
        <f>0.034142*(1000000)</f>
        <v>34142</v>
      </c>
    </row>
    <row r="3700" spans="1:4" x14ac:dyDescent="0.25">
      <c r="A3700" s="2">
        <v>39508</v>
      </c>
      <c r="B3700" s="1" t="s">
        <v>23</v>
      </c>
      <c r="C3700" s="1">
        <v>0</v>
      </c>
      <c r="D3700" s="1">
        <f>0.034289*(1000000)</f>
        <v>34289</v>
      </c>
    </row>
    <row r="3701" spans="1:4" x14ac:dyDescent="0.25">
      <c r="A3701" s="2">
        <v>39539</v>
      </c>
      <c r="B3701" s="1" t="s">
        <v>23</v>
      </c>
      <c r="C3701" s="1">
        <v>0</v>
      </c>
      <c r="D3701" s="1">
        <f>0.033035*(1000000)</f>
        <v>33035</v>
      </c>
    </row>
    <row r="3702" spans="1:4" x14ac:dyDescent="0.25">
      <c r="A3702" s="2">
        <v>39569</v>
      </c>
      <c r="B3702" s="1" t="s">
        <v>23</v>
      </c>
      <c r="C3702" s="1">
        <v>0</v>
      </c>
      <c r="D3702" s="1">
        <f>0.033139*(1000000)</f>
        <v>33139</v>
      </c>
    </row>
    <row r="3703" spans="1:4" x14ac:dyDescent="0.25">
      <c r="A3703" s="2">
        <v>39600</v>
      </c>
      <c r="B3703" s="1" t="s">
        <v>23</v>
      </c>
      <c r="C3703" s="1">
        <v>0</v>
      </c>
      <c r="D3703" s="1">
        <f>0.032594*(1000000)</f>
        <v>32593.999999999996</v>
      </c>
    </row>
    <row r="3704" spans="1:4" x14ac:dyDescent="0.25">
      <c r="A3704" s="2">
        <v>39630</v>
      </c>
      <c r="B3704" s="1" t="s">
        <v>23</v>
      </c>
      <c r="C3704" s="1">
        <v>0</v>
      </c>
      <c r="D3704" s="1">
        <f>0.033904*(1000000)</f>
        <v>33904</v>
      </c>
    </row>
    <row r="3705" spans="1:4" x14ac:dyDescent="0.25">
      <c r="A3705" s="2">
        <v>39661</v>
      </c>
      <c r="B3705" s="1" t="s">
        <v>23</v>
      </c>
      <c r="C3705" s="1">
        <v>0</v>
      </c>
      <c r="D3705" s="1">
        <f>0.034057*(1000000)</f>
        <v>34057</v>
      </c>
    </row>
    <row r="3706" spans="1:4" x14ac:dyDescent="0.25">
      <c r="A3706" s="2">
        <v>39692</v>
      </c>
      <c r="B3706" s="1" t="s">
        <v>23</v>
      </c>
      <c r="C3706" s="1">
        <v>0</v>
      </c>
      <c r="D3706" s="1">
        <f>0.033742*(1000000)</f>
        <v>33742</v>
      </c>
    </row>
    <row r="3707" spans="1:4" x14ac:dyDescent="0.25">
      <c r="A3707" s="2">
        <v>39722</v>
      </c>
      <c r="B3707" s="1" t="s">
        <v>23</v>
      </c>
      <c r="C3707" s="1">
        <v>0</v>
      </c>
      <c r="D3707" s="1">
        <f>0.036676*(1000000)</f>
        <v>36676</v>
      </c>
    </row>
    <row r="3708" spans="1:4" x14ac:dyDescent="0.25">
      <c r="A3708" s="2">
        <v>39753</v>
      </c>
      <c r="B3708" s="1" t="s">
        <v>23</v>
      </c>
      <c r="C3708" s="1">
        <v>0</v>
      </c>
      <c r="D3708" s="1">
        <f>0.037625*(1000000)</f>
        <v>37625</v>
      </c>
    </row>
    <row r="3709" spans="1:4" x14ac:dyDescent="0.25">
      <c r="A3709" s="2">
        <v>39783</v>
      </c>
      <c r="B3709" s="1" t="s">
        <v>23</v>
      </c>
      <c r="C3709" s="1">
        <v>0</v>
      </c>
      <c r="D3709" s="1">
        <f>0.038669*(1000000)</f>
        <v>38669</v>
      </c>
    </row>
    <row r="3710" spans="1:4" x14ac:dyDescent="0.25">
      <c r="A3710" s="2">
        <v>39814</v>
      </c>
      <c r="B3710" s="1" t="s">
        <v>23</v>
      </c>
      <c r="C3710" s="1">
        <v>0</v>
      </c>
      <c r="D3710" s="1">
        <f>0.04054*(1000000)</f>
        <v>40540</v>
      </c>
    </row>
    <row r="3711" spans="1:4" x14ac:dyDescent="0.25">
      <c r="A3711" s="2">
        <v>39845</v>
      </c>
      <c r="B3711" s="1" t="s">
        <v>23</v>
      </c>
      <c r="C3711" s="1">
        <v>0</v>
      </c>
      <c r="D3711" s="1">
        <f>0.039298*(1000000)</f>
        <v>39298</v>
      </c>
    </row>
    <row r="3712" spans="1:4" x14ac:dyDescent="0.25">
      <c r="A3712" s="2">
        <v>39873</v>
      </c>
      <c r="B3712" s="1" t="s">
        <v>23</v>
      </c>
      <c r="C3712" s="1">
        <v>0</v>
      </c>
      <c r="D3712" s="1">
        <f>0.037629*(1000000)</f>
        <v>37629</v>
      </c>
    </row>
    <row r="3713" spans="1:4" x14ac:dyDescent="0.25">
      <c r="A3713" s="2">
        <v>39904</v>
      </c>
      <c r="B3713" s="1" t="s">
        <v>23</v>
      </c>
      <c r="C3713" s="1">
        <v>0</v>
      </c>
      <c r="D3713" s="1">
        <f>0.036481*(1000000)</f>
        <v>36481</v>
      </c>
    </row>
    <row r="3714" spans="1:4" x14ac:dyDescent="0.25">
      <c r="A3714" s="2">
        <v>39934</v>
      </c>
      <c r="B3714" s="1" t="s">
        <v>23</v>
      </c>
      <c r="C3714" s="1">
        <v>0</v>
      </c>
      <c r="D3714" s="1">
        <f>0.035994*(1000000)</f>
        <v>35994</v>
      </c>
    </row>
    <row r="3715" spans="1:4" x14ac:dyDescent="0.25">
      <c r="A3715" s="2">
        <v>39965</v>
      </c>
      <c r="B3715" s="1" t="s">
        <v>23</v>
      </c>
      <c r="C3715" s="1">
        <v>0</v>
      </c>
      <c r="D3715" s="1">
        <f>0.034102*(1000000)</f>
        <v>34102</v>
      </c>
    </row>
    <row r="3716" spans="1:4" x14ac:dyDescent="0.25">
      <c r="A3716" s="2">
        <v>39995</v>
      </c>
      <c r="B3716" s="1" t="s">
        <v>23</v>
      </c>
      <c r="C3716" s="1">
        <v>0</v>
      </c>
      <c r="D3716" s="1">
        <f>0.03346*(1000000)</f>
        <v>33460</v>
      </c>
    </row>
    <row r="3717" spans="1:4" x14ac:dyDescent="0.25">
      <c r="A3717" s="2">
        <v>40026</v>
      </c>
      <c r="B3717" s="1" t="s">
        <v>23</v>
      </c>
      <c r="C3717" s="1">
        <v>0</v>
      </c>
      <c r="D3717" s="1">
        <f>0.033605*(1000000)</f>
        <v>33605</v>
      </c>
    </row>
    <row r="3718" spans="1:4" x14ac:dyDescent="0.25">
      <c r="A3718" s="2">
        <v>40057</v>
      </c>
      <c r="B3718" s="1" t="s">
        <v>23</v>
      </c>
      <c r="C3718" s="1">
        <v>0</v>
      </c>
      <c r="D3718" s="1">
        <f>0.034593*(1000000)</f>
        <v>34593</v>
      </c>
    </row>
    <row r="3719" spans="1:4" x14ac:dyDescent="0.25">
      <c r="A3719" s="2">
        <v>40087</v>
      </c>
      <c r="B3719" s="1" t="s">
        <v>23</v>
      </c>
      <c r="C3719" s="1">
        <v>0</v>
      </c>
      <c r="D3719" s="1">
        <f>0.034187*(1000000)</f>
        <v>34187</v>
      </c>
    </row>
    <row r="3720" spans="1:4" x14ac:dyDescent="0.25">
      <c r="A3720" s="2">
        <v>40118</v>
      </c>
      <c r="B3720" s="1" t="s">
        <v>23</v>
      </c>
      <c r="C3720" s="1">
        <v>0</v>
      </c>
      <c r="D3720" s="1">
        <f>0.035973*(1000000)</f>
        <v>35973</v>
      </c>
    </row>
    <row r="3721" spans="1:4" x14ac:dyDescent="0.25">
      <c r="A3721" s="2">
        <v>40148</v>
      </c>
      <c r="B3721" s="1" t="s">
        <v>23</v>
      </c>
      <c r="C3721" s="1">
        <v>0</v>
      </c>
      <c r="D3721" s="1">
        <f>0.035688*(1000000)</f>
        <v>35688</v>
      </c>
    </row>
    <row r="3722" spans="1:4" x14ac:dyDescent="0.25">
      <c r="A3722" s="2">
        <v>40179</v>
      </c>
      <c r="B3722" s="1" t="s">
        <v>23</v>
      </c>
      <c r="C3722" s="1">
        <v>0</v>
      </c>
      <c r="D3722" s="1">
        <f>0.034761*(1000000)</f>
        <v>34761</v>
      </c>
    </row>
    <row r="3723" spans="1:4" x14ac:dyDescent="0.25">
      <c r="A3723" s="2">
        <v>40210</v>
      </c>
      <c r="B3723" s="1" t="s">
        <v>23</v>
      </c>
      <c r="C3723" s="1">
        <v>0</v>
      </c>
      <c r="D3723" s="1">
        <f>0.036179*(1000000)</f>
        <v>36179</v>
      </c>
    </row>
    <row r="3724" spans="1:4" x14ac:dyDescent="0.25">
      <c r="A3724" s="2">
        <v>40238</v>
      </c>
      <c r="B3724" s="1" t="s">
        <v>23</v>
      </c>
      <c r="C3724" s="1">
        <v>0</v>
      </c>
      <c r="D3724" s="1">
        <f>0.03627*(1000000)</f>
        <v>36270</v>
      </c>
    </row>
    <row r="3725" spans="1:4" x14ac:dyDescent="0.25">
      <c r="A3725" s="2">
        <v>40269</v>
      </c>
      <c r="B3725" s="1" t="s">
        <v>23</v>
      </c>
      <c r="C3725" s="1">
        <v>0</v>
      </c>
      <c r="D3725" s="1">
        <f>0.036368*(1000000)</f>
        <v>36368</v>
      </c>
    </row>
    <row r="3726" spans="1:4" x14ac:dyDescent="0.25">
      <c r="A3726" s="2">
        <v>40299</v>
      </c>
      <c r="B3726" s="1" t="s">
        <v>23</v>
      </c>
      <c r="C3726" s="1">
        <v>0</v>
      </c>
      <c r="D3726" s="1">
        <f>0.037678*(1000000)</f>
        <v>37678</v>
      </c>
    </row>
    <row r="3727" spans="1:4" x14ac:dyDescent="0.25">
      <c r="A3727" s="2">
        <v>40330</v>
      </c>
      <c r="B3727" s="1" t="s">
        <v>23</v>
      </c>
      <c r="C3727" s="1">
        <v>0</v>
      </c>
      <c r="D3727" s="1">
        <f>0.038958*(1000000)</f>
        <v>38958</v>
      </c>
    </row>
    <row r="3728" spans="1:4" x14ac:dyDescent="0.25">
      <c r="A3728" s="2">
        <v>40360</v>
      </c>
      <c r="B3728" s="1" t="s">
        <v>23</v>
      </c>
      <c r="C3728" s="1">
        <v>0</v>
      </c>
      <c r="D3728" s="1">
        <f>0.040389*(1000000)</f>
        <v>40389</v>
      </c>
    </row>
    <row r="3729" spans="1:4" x14ac:dyDescent="0.25">
      <c r="A3729" s="2">
        <v>40391</v>
      </c>
      <c r="B3729" s="1" t="s">
        <v>23</v>
      </c>
      <c r="C3729" s="1">
        <v>0</v>
      </c>
      <c r="D3729" s="1">
        <f>0.040297*(1000000)</f>
        <v>40297</v>
      </c>
    </row>
    <row r="3730" spans="1:4" x14ac:dyDescent="0.25">
      <c r="A3730" s="2">
        <v>40422</v>
      </c>
      <c r="B3730" s="1" t="s">
        <v>23</v>
      </c>
      <c r="C3730" s="1">
        <v>0</v>
      </c>
      <c r="D3730" s="1">
        <f>0.042869*(1000000)</f>
        <v>42869</v>
      </c>
    </row>
    <row r="3731" spans="1:4" x14ac:dyDescent="0.25">
      <c r="A3731" s="2">
        <v>40452</v>
      </c>
      <c r="B3731" s="1" t="s">
        <v>23</v>
      </c>
      <c r="C3731" s="1">
        <v>0</v>
      </c>
      <c r="D3731" s="1">
        <f>0.043777*(1000000)</f>
        <v>43777</v>
      </c>
    </row>
    <row r="3732" spans="1:4" x14ac:dyDescent="0.25">
      <c r="A3732" s="2">
        <v>40483</v>
      </c>
      <c r="B3732" s="1" t="s">
        <v>23</v>
      </c>
      <c r="C3732" s="1">
        <v>0</v>
      </c>
      <c r="D3732" s="1">
        <f>0.0435*(1000000)</f>
        <v>43500</v>
      </c>
    </row>
    <row r="3733" spans="1:4" x14ac:dyDescent="0.25">
      <c r="A3733" s="2">
        <v>40513</v>
      </c>
      <c r="B3733" s="1" t="s">
        <v>23</v>
      </c>
      <c r="C3733" s="1">
        <v>0</v>
      </c>
      <c r="D3733" s="1">
        <f>0.044438*(1000000)</f>
        <v>44438</v>
      </c>
    </row>
    <row r="3734" spans="1:4" x14ac:dyDescent="0.25">
      <c r="A3734" s="2">
        <v>40544</v>
      </c>
      <c r="B3734" s="1" t="s">
        <v>23</v>
      </c>
      <c r="C3734" s="1">
        <v>0</v>
      </c>
      <c r="D3734" s="1">
        <f>0.045361*(1000000)</f>
        <v>45361</v>
      </c>
    </row>
    <row r="3735" spans="1:4" x14ac:dyDescent="0.25">
      <c r="A3735" s="2">
        <v>40575</v>
      </c>
      <c r="B3735" s="1" t="s">
        <v>23</v>
      </c>
      <c r="C3735" s="1">
        <v>0</v>
      </c>
      <c r="D3735" s="1">
        <f>0.041881*(1000000)</f>
        <v>41881</v>
      </c>
    </row>
    <row r="3736" spans="1:4" x14ac:dyDescent="0.25">
      <c r="A3736" s="2">
        <v>40603</v>
      </c>
      <c r="B3736" s="1" t="s">
        <v>23</v>
      </c>
      <c r="C3736" s="1">
        <v>0</v>
      </c>
      <c r="D3736" s="1">
        <f>0.047497*(1000000)</f>
        <v>47497</v>
      </c>
    </row>
    <row r="3737" spans="1:4" x14ac:dyDescent="0.25">
      <c r="A3737" s="2">
        <v>40634</v>
      </c>
      <c r="B3737" s="1" t="s">
        <v>23</v>
      </c>
      <c r="C3737" s="1">
        <v>0</v>
      </c>
      <c r="D3737" s="1">
        <f>0.048715*(1000000)</f>
        <v>48715</v>
      </c>
    </row>
    <row r="3738" spans="1:4" x14ac:dyDescent="0.25">
      <c r="A3738" s="2">
        <v>40664</v>
      </c>
      <c r="B3738" s="1" t="s">
        <v>23</v>
      </c>
      <c r="C3738" s="1">
        <v>0</v>
      </c>
      <c r="D3738" s="1">
        <f>0.04837*(1000000)</f>
        <v>48370</v>
      </c>
    </row>
    <row r="3739" spans="1:4" x14ac:dyDescent="0.25">
      <c r="A3739" s="2">
        <v>40695</v>
      </c>
      <c r="B3739" s="1" t="s">
        <v>23</v>
      </c>
      <c r="C3739" s="1">
        <v>0</v>
      </c>
      <c r="D3739" s="1">
        <f>0.049962*(1000000)</f>
        <v>49962</v>
      </c>
    </row>
    <row r="3740" spans="1:4" x14ac:dyDescent="0.25">
      <c r="A3740" s="2">
        <v>40725</v>
      </c>
      <c r="B3740" s="1" t="s">
        <v>23</v>
      </c>
      <c r="C3740" s="1">
        <v>0</v>
      </c>
      <c r="D3740" s="1">
        <f>0.049988*(1000000)</f>
        <v>49988</v>
      </c>
    </row>
    <row r="3741" spans="1:4" x14ac:dyDescent="0.25">
      <c r="A3741" s="2">
        <v>40756</v>
      </c>
      <c r="B3741" s="1" t="s">
        <v>23</v>
      </c>
      <c r="C3741" s="1">
        <v>0</v>
      </c>
      <c r="D3741" s="1">
        <f>0.054705*(1000000)</f>
        <v>54705</v>
      </c>
    </row>
    <row r="3742" spans="1:4" x14ac:dyDescent="0.25">
      <c r="A3742" s="2">
        <v>40787</v>
      </c>
      <c r="B3742" s="1" t="s">
        <v>23</v>
      </c>
      <c r="C3742" s="1">
        <v>0</v>
      </c>
      <c r="D3742" s="1">
        <f>0.057978*(1000000)</f>
        <v>57978</v>
      </c>
    </row>
    <row r="3743" spans="1:4" x14ac:dyDescent="0.25">
      <c r="A3743" s="2">
        <v>40817</v>
      </c>
      <c r="B3743" s="1" t="s">
        <v>23</v>
      </c>
      <c r="C3743" s="1">
        <v>0</v>
      </c>
      <c r="D3743" s="1">
        <f>0.05873*(1000000)</f>
        <v>58730</v>
      </c>
    </row>
    <row r="3744" spans="1:4" x14ac:dyDescent="0.25">
      <c r="A3744" s="2">
        <v>40848</v>
      </c>
      <c r="B3744" s="1" t="s">
        <v>23</v>
      </c>
      <c r="C3744" s="1">
        <v>0</v>
      </c>
      <c r="D3744" s="1">
        <f>0.062509*(1000000)</f>
        <v>62508.999999999993</v>
      </c>
    </row>
    <row r="3745" spans="1:4" x14ac:dyDescent="0.25">
      <c r="A3745" s="2">
        <v>40878</v>
      </c>
      <c r="B3745" s="1" t="s">
        <v>23</v>
      </c>
      <c r="C3745" s="1">
        <v>0</v>
      </c>
      <c r="D3745" s="1">
        <f>0.064843*(1000000)</f>
        <v>64843</v>
      </c>
    </row>
    <row r="3746" spans="1:4" x14ac:dyDescent="0.25">
      <c r="A3746" s="2">
        <v>40909</v>
      </c>
      <c r="B3746" s="1" t="s">
        <v>23</v>
      </c>
      <c r="C3746" s="1">
        <v>0</v>
      </c>
      <c r="D3746" s="1">
        <f>0.065375*(1000000)</f>
        <v>65375</v>
      </c>
    </row>
    <row r="3747" spans="1:4" x14ac:dyDescent="0.25">
      <c r="A3747" s="2">
        <v>40940</v>
      </c>
      <c r="B3747" s="1" t="s">
        <v>23</v>
      </c>
      <c r="C3747" s="1">
        <v>0</v>
      </c>
      <c r="D3747" s="1">
        <f>0.066246*(1000000)</f>
        <v>66246</v>
      </c>
    </row>
    <row r="3748" spans="1:4" x14ac:dyDescent="0.25">
      <c r="A3748" s="2">
        <v>40969</v>
      </c>
      <c r="B3748" s="1" t="s">
        <v>23</v>
      </c>
      <c r="C3748" s="1">
        <v>0</v>
      </c>
      <c r="D3748" s="1">
        <f>0.069039*(1000000)</f>
        <v>69039</v>
      </c>
    </row>
    <row r="3749" spans="1:4" x14ac:dyDescent="0.25">
      <c r="A3749" s="2">
        <v>41000</v>
      </c>
      <c r="B3749" s="1" t="s">
        <v>23</v>
      </c>
      <c r="C3749" s="1">
        <v>0</v>
      </c>
      <c r="D3749" s="1">
        <f>0.068491*(1000000)</f>
        <v>68491</v>
      </c>
    </row>
    <row r="3750" spans="1:4" x14ac:dyDescent="0.25">
      <c r="A3750" s="2">
        <v>41030</v>
      </c>
      <c r="B3750" s="1" t="s">
        <v>23</v>
      </c>
      <c r="C3750" s="1">
        <v>0</v>
      </c>
      <c r="D3750" s="1">
        <f>0.072222*(1000000)</f>
        <v>72222</v>
      </c>
    </row>
    <row r="3751" spans="1:4" x14ac:dyDescent="0.25">
      <c r="A3751" s="2">
        <v>41061</v>
      </c>
      <c r="B3751" s="1" t="s">
        <v>23</v>
      </c>
      <c r="C3751" s="1">
        <v>0</v>
      </c>
      <c r="D3751" s="1">
        <f>0.075478*(1000000)</f>
        <v>75478</v>
      </c>
    </row>
    <row r="3752" spans="1:4" x14ac:dyDescent="0.25">
      <c r="A3752" s="2">
        <v>41091</v>
      </c>
      <c r="B3752" s="1" t="s">
        <v>23</v>
      </c>
      <c r="C3752" s="1">
        <v>0</v>
      </c>
      <c r="D3752" s="1">
        <f>0.079743*(1000000)</f>
        <v>79743</v>
      </c>
    </row>
    <row r="3753" spans="1:4" x14ac:dyDescent="0.25">
      <c r="A3753" s="2">
        <v>41122</v>
      </c>
      <c r="B3753" s="1" t="s">
        <v>23</v>
      </c>
      <c r="C3753" s="1">
        <v>0</v>
      </c>
      <c r="D3753" s="1">
        <f>0.08193*(1000000)</f>
        <v>81930</v>
      </c>
    </row>
    <row r="3754" spans="1:4" x14ac:dyDescent="0.25">
      <c r="A3754" s="2">
        <v>41153</v>
      </c>
      <c r="B3754" s="1" t="s">
        <v>23</v>
      </c>
      <c r="C3754" s="1">
        <v>0</v>
      </c>
      <c r="D3754" s="1">
        <f>0.08585*(1000000)</f>
        <v>85850</v>
      </c>
    </row>
    <row r="3755" spans="1:4" x14ac:dyDescent="0.25">
      <c r="A3755" s="2">
        <v>41183</v>
      </c>
      <c r="B3755" s="1" t="s">
        <v>23</v>
      </c>
      <c r="C3755" s="1">
        <v>0</v>
      </c>
      <c r="D3755" s="1">
        <f>0.086846*(1000000)</f>
        <v>86846</v>
      </c>
    </row>
    <row r="3756" spans="1:4" x14ac:dyDescent="0.25">
      <c r="A3756" s="2">
        <v>41214</v>
      </c>
      <c r="B3756" s="1" t="s">
        <v>23</v>
      </c>
      <c r="C3756" s="1">
        <v>0</v>
      </c>
      <c r="D3756" s="1">
        <f>0.094458*(1000000)</f>
        <v>94458</v>
      </c>
    </row>
    <row r="3757" spans="1:4" x14ac:dyDescent="0.25">
      <c r="A3757" s="2">
        <v>41244</v>
      </c>
      <c r="B3757" s="1" t="s">
        <v>23</v>
      </c>
      <c r="C3757" s="1">
        <v>0</v>
      </c>
      <c r="D3757" s="1">
        <f>0.090984*(1000000)</f>
        <v>90984</v>
      </c>
    </row>
    <row r="3758" spans="1:4" x14ac:dyDescent="0.25">
      <c r="A3758" s="2">
        <v>41275</v>
      </c>
      <c r="B3758" s="1" t="s">
        <v>23</v>
      </c>
      <c r="C3758" s="1">
        <v>0</v>
      </c>
      <c r="D3758" s="1">
        <f>0.090846*(1000000)</f>
        <v>90846</v>
      </c>
    </row>
    <row r="3759" spans="1:4" x14ac:dyDescent="0.25">
      <c r="A3759" s="2">
        <v>41306</v>
      </c>
      <c r="B3759" s="1" t="s">
        <v>23</v>
      </c>
      <c r="C3759" s="1">
        <v>0</v>
      </c>
      <c r="D3759" s="1">
        <f>0.096821*(1000000)</f>
        <v>96821</v>
      </c>
    </row>
    <row r="3760" spans="1:4" x14ac:dyDescent="0.25">
      <c r="A3760" s="2">
        <v>41334</v>
      </c>
      <c r="B3760" s="1" t="s">
        <v>23</v>
      </c>
      <c r="C3760" s="1">
        <v>0</v>
      </c>
      <c r="D3760" s="1">
        <f>0.098132*(1000000)</f>
        <v>98132</v>
      </c>
    </row>
    <row r="3761" spans="1:4" x14ac:dyDescent="0.25">
      <c r="A3761" s="2">
        <v>41365</v>
      </c>
      <c r="B3761" s="1" t="s">
        <v>23</v>
      </c>
      <c r="C3761" s="1">
        <v>0</v>
      </c>
      <c r="D3761" s="1">
        <f>0.10231*(1000000)</f>
        <v>102310</v>
      </c>
    </row>
    <row r="3762" spans="1:4" x14ac:dyDescent="0.25">
      <c r="A3762" s="2">
        <v>41395</v>
      </c>
      <c r="B3762" s="1" t="s">
        <v>23</v>
      </c>
      <c r="C3762" s="1">
        <v>0</v>
      </c>
      <c r="D3762" s="1">
        <f>0.11112*(1000000)</f>
        <v>111120</v>
      </c>
    </row>
    <row r="3763" spans="1:4" x14ac:dyDescent="0.25">
      <c r="A3763" s="2">
        <v>41426</v>
      </c>
      <c r="B3763" s="1" t="s">
        <v>23</v>
      </c>
      <c r="C3763" s="1">
        <v>0</v>
      </c>
      <c r="D3763" s="1">
        <f>0.111624*(1000000)</f>
        <v>111624</v>
      </c>
    </row>
    <row r="3764" spans="1:4" x14ac:dyDescent="0.25">
      <c r="A3764" s="2">
        <v>41456</v>
      </c>
      <c r="B3764" s="1" t="s">
        <v>23</v>
      </c>
      <c r="C3764" s="1">
        <v>0</v>
      </c>
      <c r="D3764" s="1">
        <f>0.116668*(1000000)</f>
        <v>116668</v>
      </c>
    </row>
    <row r="3765" spans="1:4" x14ac:dyDescent="0.25">
      <c r="A3765" s="2">
        <v>41487</v>
      </c>
      <c r="B3765" s="1" t="s">
        <v>23</v>
      </c>
      <c r="C3765" s="1">
        <v>0</v>
      </c>
      <c r="D3765" s="1">
        <f>0.121877*(1000000)</f>
        <v>121877</v>
      </c>
    </row>
    <row r="3766" spans="1:4" x14ac:dyDescent="0.25">
      <c r="A3766" s="2">
        <v>41518</v>
      </c>
      <c r="B3766" s="1" t="s">
        <v>23</v>
      </c>
      <c r="C3766" s="1">
        <v>0</v>
      </c>
      <c r="D3766" s="1">
        <f>0.125464*(1000000)</f>
        <v>125463.99999999999</v>
      </c>
    </row>
    <row r="3767" spans="1:4" x14ac:dyDescent="0.25">
      <c r="A3767" s="2">
        <v>41548</v>
      </c>
      <c r="B3767" s="1" t="s">
        <v>23</v>
      </c>
      <c r="C3767" s="1">
        <v>0</v>
      </c>
      <c r="D3767" s="1">
        <f>0.13002*(1000000)</f>
        <v>130020</v>
      </c>
    </row>
    <row r="3768" spans="1:4" x14ac:dyDescent="0.25">
      <c r="A3768" s="2">
        <v>41579</v>
      </c>
      <c r="B3768" s="1" t="s">
        <v>23</v>
      </c>
      <c r="C3768" s="1">
        <v>0</v>
      </c>
      <c r="D3768" s="1">
        <f>0.126147*(1000000)</f>
        <v>126147.00000000001</v>
      </c>
    </row>
    <row r="3769" spans="1:4" x14ac:dyDescent="0.25">
      <c r="A3769" s="2">
        <v>41609</v>
      </c>
      <c r="B3769" s="1" t="s">
        <v>23</v>
      </c>
      <c r="C3769" s="1">
        <v>0</v>
      </c>
      <c r="D3769" s="1">
        <f>0.139306*(1000000)</f>
        <v>139306</v>
      </c>
    </row>
    <row r="3770" spans="1:4" x14ac:dyDescent="0.25">
      <c r="A3770" s="2">
        <v>41640</v>
      </c>
      <c r="B3770" s="1" t="s">
        <v>23</v>
      </c>
      <c r="C3770" s="1">
        <v>0</v>
      </c>
      <c r="D3770" s="1">
        <f>0.147622*(1000000)</f>
        <v>147622</v>
      </c>
    </row>
    <row r="3771" spans="1:4" x14ac:dyDescent="0.25">
      <c r="A3771" s="2">
        <v>41671</v>
      </c>
      <c r="B3771" s="1" t="s">
        <v>23</v>
      </c>
      <c r="C3771" s="1">
        <v>0</v>
      </c>
      <c r="D3771" s="1">
        <f>0.150468*(1000000)</f>
        <v>150468</v>
      </c>
    </row>
    <row r="3772" spans="1:4" x14ac:dyDescent="0.25">
      <c r="A3772" s="2">
        <v>41699</v>
      </c>
      <c r="B3772" s="1" t="s">
        <v>23</v>
      </c>
      <c r="C3772" s="1">
        <v>0</v>
      </c>
      <c r="D3772" s="1">
        <f>0.164328*(1000000)</f>
        <v>164328</v>
      </c>
    </row>
    <row r="3773" spans="1:4" x14ac:dyDescent="0.25">
      <c r="A3773" s="2">
        <v>41730</v>
      </c>
      <c r="B3773" s="1" t="s">
        <v>23</v>
      </c>
      <c r="C3773" s="1">
        <v>0</v>
      </c>
      <c r="D3773" s="1">
        <f>0.173298*(1000000)</f>
        <v>173298</v>
      </c>
    </row>
    <row r="3774" spans="1:4" x14ac:dyDescent="0.25">
      <c r="A3774" s="2">
        <v>41760</v>
      </c>
      <c r="B3774" s="1" t="s">
        <v>23</v>
      </c>
      <c r="C3774" s="1">
        <v>0</v>
      </c>
      <c r="D3774" s="1">
        <f>0.188976*(1000000)</f>
        <v>188976</v>
      </c>
    </row>
    <row r="3775" spans="1:4" x14ac:dyDescent="0.25">
      <c r="A3775" s="2">
        <v>41791</v>
      </c>
      <c r="B3775" s="1" t="s">
        <v>23</v>
      </c>
      <c r="C3775" s="1">
        <v>0</v>
      </c>
      <c r="D3775" s="1">
        <f>0.191133*(1000000)</f>
        <v>191133</v>
      </c>
    </row>
    <row r="3776" spans="1:4" x14ac:dyDescent="0.25">
      <c r="A3776" s="2">
        <v>41821</v>
      </c>
      <c r="B3776" s="1" t="s">
        <v>23</v>
      </c>
      <c r="C3776" s="1">
        <v>0</v>
      </c>
      <c r="D3776" s="1">
        <f>0.207769*(1000000)</f>
        <v>207769</v>
      </c>
    </row>
    <row r="3777" spans="1:4" x14ac:dyDescent="0.25">
      <c r="A3777" s="2">
        <v>41852</v>
      </c>
      <c r="B3777" s="1" t="s">
        <v>23</v>
      </c>
      <c r="C3777" s="1">
        <v>0</v>
      </c>
      <c r="D3777" s="1">
        <f>0.213105*(1000000)</f>
        <v>213105</v>
      </c>
    </row>
    <row r="3778" spans="1:4" x14ac:dyDescent="0.25">
      <c r="A3778" s="2">
        <v>41883</v>
      </c>
      <c r="B3778" s="1" t="s">
        <v>23</v>
      </c>
      <c r="C3778" s="1">
        <v>0</v>
      </c>
      <c r="D3778" s="1">
        <f>0.213677*(1000000)</f>
        <v>213677</v>
      </c>
    </row>
    <row r="3779" spans="1:4" x14ac:dyDescent="0.25">
      <c r="A3779" s="2">
        <v>41913</v>
      </c>
      <c r="B3779" s="1" t="s">
        <v>23</v>
      </c>
      <c r="C3779" s="1">
        <v>0</v>
      </c>
      <c r="D3779" s="1">
        <f>0.223249*(1000000)</f>
        <v>223249</v>
      </c>
    </row>
    <row r="3780" spans="1:4" x14ac:dyDescent="0.25">
      <c r="A3780" s="2">
        <v>41944</v>
      </c>
      <c r="B3780" s="1" t="s">
        <v>23</v>
      </c>
      <c r="C3780" s="1">
        <v>0</v>
      </c>
      <c r="D3780" s="1">
        <f>0.233189*(1000000)</f>
        <v>233189</v>
      </c>
    </row>
    <row r="3781" spans="1:4" x14ac:dyDescent="0.25">
      <c r="A3781" s="2">
        <v>41974</v>
      </c>
      <c r="B3781" s="1" t="s">
        <v>23</v>
      </c>
      <c r="C3781" s="1">
        <v>0</v>
      </c>
      <c r="D3781" s="1">
        <f>0.243458*(1000000)</f>
        <v>243458</v>
      </c>
    </row>
    <row r="3782" spans="1:4" x14ac:dyDescent="0.25">
      <c r="A3782" s="2">
        <v>36526</v>
      </c>
      <c r="B3782" s="1" t="s">
        <v>24</v>
      </c>
      <c r="C3782" s="1">
        <v>0</v>
      </c>
      <c r="D3782" s="1">
        <f>0.030806*(1000000)</f>
        <v>30806</v>
      </c>
    </row>
    <row r="3783" spans="1:4" x14ac:dyDescent="0.25">
      <c r="A3783" s="2">
        <v>36557</v>
      </c>
      <c r="B3783" s="1" t="s">
        <v>24</v>
      </c>
      <c r="C3783" s="1">
        <v>0</v>
      </c>
      <c r="D3783" s="1">
        <f>0.031022*(1000000)</f>
        <v>31022</v>
      </c>
    </row>
    <row r="3784" spans="1:4" x14ac:dyDescent="0.25">
      <c r="A3784" s="2">
        <v>36586</v>
      </c>
      <c r="B3784" s="1" t="s">
        <v>24</v>
      </c>
      <c r="C3784" s="1">
        <v>0</v>
      </c>
      <c r="D3784" s="1">
        <f>0.030559*(1000000)</f>
        <v>30559</v>
      </c>
    </row>
    <row r="3785" spans="1:4" x14ac:dyDescent="0.25">
      <c r="A3785" s="2">
        <v>36617</v>
      </c>
      <c r="B3785" s="1" t="s">
        <v>24</v>
      </c>
      <c r="C3785" s="1">
        <v>0</v>
      </c>
      <c r="D3785" s="1">
        <f>0.030527*(1000000)</f>
        <v>30527</v>
      </c>
    </row>
    <row r="3786" spans="1:4" x14ac:dyDescent="0.25">
      <c r="A3786" s="2">
        <v>36647</v>
      </c>
      <c r="B3786" s="1" t="s">
        <v>24</v>
      </c>
      <c r="C3786" s="1">
        <v>0</v>
      </c>
      <c r="D3786" s="1">
        <f>0.030801*(1000000)</f>
        <v>30801</v>
      </c>
    </row>
    <row r="3787" spans="1:4" x14ac:dyDescent="0.25">
      <c r="A3787" s="2">
        <v>36678</v>
      </c>
      <c r="B3787" s="1" t="s">
        <v>24</v>
      </c>
      <c r="C3787" s="1">
        <v>0</v>
      </c>
      <c r="D3787" s="1">
        <f>0.03097*(1000000)</f>
        <v>30970</v>
      </c>
    </row>
    <row r="3788" spans="1:4" x14ac:dyDescent="0.25">
      <c r="A3788" s="2">
        <v>36708</v>
      </c>
      <c r="B3788" s="1" t="s">
        <v>24</v>
      </c>
      <c r="C3788" s="1">
        <v>0</v>
      </c>
      <c r="D3788" s="1">
        <f>0.029614*(1000000)</f>
        <v>29614</v>
      </c>
    </row>
    <row r="3789" spans="1:4" x14ac:dyDescent="0.25">
      <c r="A3789" s="2">
        <v>36739</v>
      </c>
      <c r="B3789" s="1" t="s">
        <v>24</v>
      </c>
      <c r="C3789" s="1">
        <v>0</v>
      </c>
      <c r="D3789" s="1">
        <f>0.029604*(1000000)</f>
        <v>29604</v>
      </c>
    </row>
    <row r="3790" spans="1:4" x14ac:dyDescent="0.25">
      <c r="A3790" s="2">
        <v>36770</v>
      </c>
      <c r="B3790" s="1" t="s">
        <v>24</v>
      </c>
      <c r="C3790" s="1">
        <v>0</v>
      </c>
      <c r="D3790" s="1">
        <f>0.030909*(1000000)</f>
        <v>30909</v>
      </c>
    </row>
    <row r="3791" spans="1:4" x14ac:dyDescent="0.25">
      <c r="A3791" s="2">
        <v>36800</v>
      </c>
      <c r="B3791" s="1" t="s">
        <v>24</v>
      </c>
      <c r="C3791" s="1">
        <v>0</v>
      </c>
      <c r="D3791" s="1">
        <f>0.030658*(1000000)</f>
        <v>30658</v>
      </c>
    </row>
    <row r="3792" spans="1:4" x14ac:dyDescent="0.25">
      <c r="A3792" s="2">
        <v>36831</v>
      </c>
      <c r="B3792" s="1" t="s">
        <v>24</v>
      </c>
      <c r="C3792" s="1">
        <v>0</v>
      </c>
      <c r="D3792" s="1">
        <f>0.030128*(1000000)</f>
        <v>30128</v>
      </c>
    </row>
    <row r="3793" spans="1:4" x14ac:dyDescent="0.25">
      <c r="A3793" s="2">
        <v>36861</v>
      </c>
      <c r="B3793" s="1" t="s">
        <v>24</v>
      </c>
      <c r="C3793" s="1">
        <v>0</v>
      </c>
      <c r="D3793" s="1">
        <f>0.030483*(1000000)</f>
        <v>30483</v>
      </c>
    </row>
    <row r="3794" spans="1:4" x14ac:dyDescent="0.25">
      <c r="A3794" s="2">
        <v>36892</v>
      </c>
      <c r="B3794" s="1" t="s">
        <v>24</v>
      </c>
      <c r="C3794" s="1">
        <v>0</v>
      </c>
      <c r="D3794" s="1">
        <f>0.030317*(1000000)</f>
        <v>30317</v>
      </c>
    </row>
    <row r="3795" spans="1:4" x14ac:dyDescent="0.25">
      <c r="A3795" s="2">
        <v>36923</v>
      </c>
      <c r="B3795" s="1" t="s">
        <v>24</v>
      </c>
      <c r="C3795" s="1">
        <v>0</v>
      </c>
      <c r="D3795" s="1">
        <f>0.030687*(1000000)</f>
        <v>30687</v>
      </c>
    </row>
    <row r="3796" spans="1:4" x14ac:dyDescent="0.25">
      <c r="A3796" s="2">
        <v>36951</v>
      </c>
      <c r="B3796" s="1" t="s">
        <v>24</v>
      </c>
      <c r="C3796" s="1">
        <v>0</v>
      </c>
      <c r="D3796" s="1">
        <f>0.030353*(1000000)</f>
        <v>30353</v>
      </c>
    </row>
    <row r="3797" spans="1:4" x14ac:dyDescent="0.25">
      <c r="A3797" s="2">
        <v>36982</v>
      </c>
      <c r="B3797" s="1" t="s">
        <v>24</v>
      </c>
      <c r="C3797" s="1">
        <v>0</v>
      </c>
      <c r="D3797" s="1">
        <f>0.030115*(1000000)</f>
        <v>30115</v>
      </c>
    </row>
    <row r="3798" spans="1:4" x14ac:dyDescent="0.25">
      <c r="A3798" s="2">
        <v>37012</v>
      </c>
      <c r="B3798" s="1" t="s">
        <v>24</v>
      </c>
      <c r="C3798" s="1">
        <v>0</v>
      </c>
      <c r="D3798" s="1">
        <f>0.030329*(1000000)</f>
        <v>30329</v>
      </c>
    </row>
    <row r="3799" spans="1:4" x14ac:dyDescent="0.25">
      <c r="A3799" s="2">
        <v>37043</v>
      </c>
      <c r="B3799" s="1" t="s">
        <v>24</v>
      </c>
      <c r="C3799" s="1">
        <v>0</v>
      </c>
      <c r="D3799" s="1">
        <f>0.030116*(1000000)</f>
        <v>30116</v>
      </c>
    </row>
    <row r="3800" spans="1:4" x14ac:dyDescent="0.25">
      <c r="A3800" s="2">
        <v>37073</v>
      </c>
      <c r="B3800" s="1" t="s">
        <v>24</v>
      </c>
      <c r="C3800" s="1">
        <v>0</v>
      </c>
      <c r="D3800" s="1">
        <f>0.029924*(1000000)</f>
        <v>29924</v>
      </c>
    </row>
    <row r="3801" spans="1:4" x14ac:dyDescent="0.25">
      <c r="A3801" s="2">
        <v>37104</v>
      </c>
      <c r="B3801" s="1" t="s">
        <v>24</v>
      </c>
      <c r="C3801" s="1">
        <v>0</v>
      </c>
      <c r="D3801" s="1">
        <f>0.030258*(1000000)</f>
        <v>30258</v>
      </c>
    </row>
    <row r="3802" spans="1:4" x14ac:dyDescent="0.25">
      <c r="A3802" s="2">
        <v>37135</v>
      </c>
      <c r="B3802" s="1" t="s">
        <v>24</v>
      </c>
      <c r="C3802" s="1">
        <v>0</v>
      </c>
      <c r="D3802" s="1">
        <f>0.030982*(1000000)</f>
        <v>30982</v>
      </c>
    </row>
    <row r="3803" spans="1:4" x14ac:dyDescent="0.25">
      <c r="A3803" s="2">
        <v>37165</v>
      </c>
      <c r="B3803" s="1" t="s">
        <v>24</v>
      </c>
      <c r="C3803" s="1">
        <v>0</v>
      </c>
      <c r="D3803" s="1">
        <f>0.03095*(1000000)</f>
        <v>30950</v>
      </c>
    </row>
    <row r="3804" spans="1:4" x14ac:dyDescent="0.25">
      <c r="A3804" s="2">
        <v>37196</v>
      </c>
      <c r="B3804" s="1" t="s">
        <v>24</v>
      </c>
      <c r="C3804" s="1">
        <v>0</v>
      </c>
      <c r="D3804" s="1">
        <f>0.030068*(1000000)</f>
        <v>30068</v>
      </c>
    </row>
    <row r="3805" spans="1:4" x14ac:dyDescent="0.25">
      <c r="A3805" s="2">
        <v>37226</v>
      </c>
      <c r="B3805" s="1" t="s">
        <v>24</v>
      </c>
      <c r="C3805" s="1">
        <v>0</v>
      </c>
      <c r="D3805" s="1">
        <f>0.030118*(1000000)</f>
        <v>30118</v>
      </c>
    </row>
    <row r="3806" spans="1:4" x14ac:dyDescent="0.25">
      <c r="A3806" s="2">
        <v>37257</v>
      </c>
      <c r="B3806" s="1" t="s">
        <v>24</v>
      </c>
      <c r="C3806" s="1">
        <v>0</v>
      </c>
      <c r="D3806" s="1">
        <f>0.029974*(1000000)</f>
        <v>29974</v>
      </c>
    </row>
    <row r="3807" spans="1:4" x14ac:dyDescent="0.25">
      <c r="A3807" s="2">
        <v>37288</v>
      </c>
      <c r="B3807" s="1" t="s">
        <v>24</v>
      </c>
      <c r="C3807" s="1">
        <v>0</v>
      </c>
      <c r="D3807" s="1">
        <f>0.029376*(1000000)</f>
        <v>29376</v>
      </c>
    </row>
    <row r="3808" spans="1:4" x14ac:dyDescent="0.25">
      <c r="A3808" s="2">
        <v>37316</v>
      </c>
      <c r="B3808" s="1" t="s">
        <v>24</v>
      </c>
      <c r="C3808" s="1">
        <v>0</v>
      </c>
      <c r="D3808" s="1">
        <f>0.029081*(1000000)</f>
        <v>29081</v>
      </c>
    </row>
    <row r="3809" spans="1:4" x14ac:dyDescent="0.25">
      <c r="A3809" s="2">
        <v>37347</v>
      </c>
      <c r="B3809" s="1" t="s">
        <v>24</v>
      </c>
      <c r="C3809" s="1">
        <v>0</v>
      </c>
      <c r="D3809" s="1">
        <f>0.028455*(1000000)</f>
        <v>28455</v>
      </c>
    </row>
    <row r="3810" spans="1:4" x14ac:dyDescent="0.25">
      <c r="A3810" s="2">
        <v>37377</v>
      </c>
      <c r="B3810" s="1" t="s">
        <v>24</v>
      </c>
      <c r="C3810" s="1">
        <v>0</v>
      </c>
      <c r="D3810" s="1">
        <f>0.028247*(1000000)</f>
        <v>28247</v>
      </c>
    </row>
    <row r="3811" spans="1:4" x14ac:dyDescent="0.25">
      <c r="A3811" s="2">
        <v>37408</v>
      </c>
      <c r="B3811" s="1" t="s">
        <v>24</v>
      </c>
      <c r="C3811" s="1">
        <v>0</v>
      </c>
      <c r="D3811" s="1">
        <f>0.027803*(1000000)</f>
        <v>27803</v>
      </c>
    </row>
    <row r="3812" spans="1:4" x14ac:dyDescent="0.25">
      <c r="A3812" s="2">
        <v>37438</v>
      </c>
      <c r="B3812" s="1" t="s">
        <v>24</v>
      </c>
      <c r="C3812" s="1">
        <v>0</v>
      </c>
      <c r="D3812" s="1">
        <f>0.028502*(1000000)</f>
        <v>28502</v>
      </c>
    </row>
    <row r="3813" spans="1:4" x14ac:dyDescent="0.25">
      <c r="A3813" s="2">
        <v>37469</v>
      </c>
      <c r="B3813" s="1" t="s">
        <v>24</v>
      </c>
      <c r="C3813" s="1">
        <v>0</v>
      </c>
      <c r="D3813" s="1">
        <f>0.028606*(1000000)</f>
        <v>28606</v>
      </c>
    </row>
    <row r="3814" spans="1:4" x14ac:dyDescent="0.25">
      <c r="A3814" s="2">
        <v>37500</v>
      </c>
      <c r="B3814" s="1" t="s">
        <v>24</v>
      </c>
      <c r="C3814" s="1">
        <v>0</v>
      </c>
      <c r="D3814" s="1">
        <f>0.028746*(1000000)</f>
        <v>28746</v>
      </c>
    </row>
    <row r="3815" spans="1:4" x14ac:dyDescent="0.25">
      <c r="A3815" s="2">
        <v>37530</v>
      </c>
      <c r="B3815" s="1" t="s">
        <v>24</v>
      </c>
      <c r="C3815" s="1">
        <v>0</v>
      </c>
      <c r="D3815" s="1">
        <f>0.028868*(1000000)</f>
        <v>28868</v>
      </c>
    </row>
    <row r="3816" spans="1:4" x14ac:dyDescent="0.25">
      <c r="A3816" s="2">
        <v>37561</v>
      </c>
      <c r="B3816" s="1" t="s">
        <v>24</v>
      </c>
      <c r="C3816" s="1">
        <v>0</v>
      </c>
      <c r="D3816" s="1">
        <f>0.029104*(1000000)</f>
        <v>29104</v>
      </c>
    </row>
    <row r="3817" spans="1:4" x14ac:dyDescent="0.25">
      <c r="A3817" s="2">
        <v>37591</v>
      </c>
      <c r="B3817" s="1" t="s">
        <v>24</v>
      </c>
      <c r="C3817" s="1">
        <v>0</v>
      </c>
      <c r="D3817" s="1">
        <f>0.029562*(1000000)</f>
        <v>29562</v>
      </c>
    </row>
    <row r="3818" spans="1:4" x14ac:dyDescent="0.25">
      <c r="A3818" s="2">
        <v>37622</v>
      </c>
      <c r="B3818" s="1" t="s">
        <v>24</v>
      </c>
      <c r="C3818" s="1">
        <v>0</v>
      </c>
      <c r="D3818" s="1">
        <f>0.02953*(1000000)</f>
        <v>29530</v>
      </c>
    </row>
    <row r="3819" spans="1:4" x14ac:dyDescent="0.25">
      <c r="A3819" s="2">
        <v>37653</v>
      </c>
      <c r="B3819" s="1" t="s">
        <v>24</v>
      </c>
      <c r="C3819" s="1">
        <v>0</v>
      </c>
      <c r="D3819" s="1">
        <f>0.029697*(1000000)</f>
        <v>29697</v>
      </c>
    </row>
    <row r="3820" spans="1:4" x14ac:dyDescent="0.25">
      <c r="A3820" s="2">
        <v>37681</v>
      </c>
      <c r="B3820" s="1" t="s">
        <v>24</v>
      </c>
      <c r="C3820" s="1">
        <v>0</v>
      </c>
      <c r="D3820" s="1">
        <f>0.029639*(1000000)</f>
        <v>29639</v>
      </c>
    </row>
    <row r="3821" spans="1:4" x14ac:dyDescent="0.25">
      <c r="A3821" s="2">
        <v>37712</v>
      </c>
      <c r="B3821" s="1" t="s">
        <v>24</v>
      </c>
      <c r="C3821" s="1">
        <v>0</v>
      </c>
      <c r="D3821" s="1">
        <f>0.029645*(1000000)</f>
        <v>29645</v>
      </c>
    </row>
    <row r="3822" spans="1:4" x14ac:dyDescent="0.25">
      <c r="A3822" s="2">
        <v>37742</v>
      </c>
      <c r="B3822" s="1" t="s">
        <v>24</v>
      </c>
      <c r="C3822" s="1">
        <v>0</v>
      </c>
      <c r="D3822" s="1">
        <f>0.029262*(1000000)</f>
        <v>29262</v>
      </c>
    </row>
    <row r="3823" spans="1:4" x14ac:dyDescent="0.25">
      <c r="A3823" s="2">
        <v>37773</v>
      </c>
      <c r="B3823" s="1" t="s">
        <v>24</v>
      </c>
      <c r="C3823" s="1">
        <v>0</v>
      </c>
      <c r="D3823" s="1">
        <f>0.029188*(1000000)</f>
        <v>29188</v>
      </c>
    </row>
    <row r="3824" spans="1:4" x14ac:dyDescent="0.25">
      <c r="A3824" s="2">
        <v>37803</v>
      </c>
      <c r="B3824" s="1" t="s">
        <v>24</v>
      </c>
      <c r="C3824" s="1">
        <v>0</v>
      </c>
      <c r="D3824" s="1">
        <f>0.029906*(1000000)</f>
        <v>29906</v>
      </c>
    </row>
    <row r="3825" spans="1:4" x14ac:dyDescent="0.25">
      <c r="A3825" s="2">
        <v>37834</v>
      </c>
      <c r="B3825" s="1" t="s">
        <v>24</v>
      </c>
      <c r="C3825" s="1">
        <v>0</v>
      </c>
      <c r="D3825" s="1">
        <f>0.029489*(1000000)</f>
        <v>29489</v>
      </c>
    </row>
    <row r="3826" spans="1:4" x14ac:dyDescent="0.25">
      <c r="A3826" s="2">
        <v>37865</v>
      </c>
      <c r="B3826" s="1" t="s">
        <v>24</v>
      </c>
      <c r="C3826" s="1">
        <v>0</v>
      </c>
      <c r="D3826" s="1">
        <f>0.029462*(1000000)</f>
        <v>29462</v>
      </c>
    </row>
    <row r="3827" spans="1:4" x14ac:dyDescent="0.25">
      <c r="A3827" s="2">
        <v>37895</v>
      </c>
      <c r="B3827" s="1" t="s">
        <v>24</v>
      </c>
      <c r="C3827" s="1">
        <v>0</v>
      </c>
      <c r="D3827" s="1">
        <f>0.029871*(1000000)</f>
        <v>29871</v>
      </c>
    </row>
    <row r="3828" spans="1:4" x14ac:dyDescent="0.25">
      <c r="A3828" s="2">
        <v>37926</v>
      </c>
      <c r="B3828" s="1" t="s">
        <v>24</v>
      </c>
      <c r="C3828" s="1">
        <v>0</v>
      </c>
      <c r="D3828" s="1">
        <f>0.029563*(1000000)</f>
        <v>29563</v>
      </c>
    </row>
    <row r="3829" spans="1:4" x14ac:dyDescent="0.25">
      <c r="A3829" s="2">
        <v>37956</v>
      </c>
      <c r="B3829" s="1" t="s">
        <v>24</v>
      </c>
      <c r="C3829" s="1">
        <v>0</v>
      </c>
      <c r="D3829" s="1">
        <f>0.029632*(1000000)</f>
        <v>29632</v>
      </c>
    </row>
    <row r="3830" spans="1:4" x14ac:dyDescent="0.25">
      <c r="A3830" s="2">
        <v>37987</v>
      </c>
      <c r="B3830" s="1" t="s">
        <v>24</v>
      </c>
      <c r="C3830" s="1">
        <v>0</v>
      </c>
      <c r="D3830" s="1">
        <f>0.030255*(1000000)</f>
        <v>30255</v>
      </c>
    </row>
    <row r="3831" spans="1:4" x14ac:dyDescent="0.25">
      <c r="A3831" s="2">
        <v>38018</v>
      </c>
      <c r="B3831" s="1" t="s">
        <v>24</v>
      </c>
      <c r="C3831" s="1">
        <v>0</v>
      </c>
      <c r="D3831" s="1">
        <f>0.030327*(1000000)</f>
        <v>30327</v>
      </c>
    </row>
    <row r="3832" spans="1:4" x14ac:dyDescent="0.25">
      <c r="A3832" s="2">
        <v>38047</v>
      </c>
      <c r="B3832" s="1" t="s">
        <v>24</v>
      </c>
      <c r="C3832" s="1">
        <v>0</v>
      </c>
      <c r="D3832" s="1">
        <f>0.03079*(1000000)</f>
        <v>30790</v>
      </c>
    </row>
    <row r="3833" spans="1:4" x14ac:dyDescent="0.25">
      <c r="A3833" s="2">
        <v>38078</v>
      </c>
      <c r="B3833" s="1" t="s">
        <v>24</v>
      </c>
      <c r="C3833" s="1">
        <v>0</v>
      </c>
      <c r="D3833" s="1">
        <f>0.030762*(1000000)</f>
        <v>30762</v>
      </c>
    </row>
    <row r="3834" spans="1:4" x14ac:dyDescent="0.25">
      <c r="A3834" s="2">
        <v>38108</v>
      </c>
      <c r="B3834" s="1" t="s">
        <v>24</v>
      </c>
      <c r="C3834" s="1">
        <v>0</v>
      </c>
      <c r="D3834" s="1">
        <f>0.030095*(1000000)</f>
        <v>30095</v>
      </c>
    </row>
    <row r="3835" spans="1:4" x14ac:dyDescent="0.25">
      <c r="A3835" s="2">
        <v>38139</v>
      </c>
      <c r="B3835" s="1" t="s">
        <v>24</v>
      </c>
      <c r="C3835" s="1">
        <v>0</v>
      </c>
      <c r="D3835" s="1">
        <f>0.029669*(1000000)</f>
        <v>29669</v>
      </c>
    </row>
    <row r="3836" spans="1:4" x14ac:dyDescent="0.25">
      <c r="A3836" s="2">
        <v>38169</v>
      </c>
      <c r="B3836" s="1" t="s">
        <v>24</v>
      </c>
      <c r="C3836" s="1">
        <v>0</v>
      </c>
      <c r="D3836" s="1">
        <f>0.029644*(1000000)</f>
        <v>29644</v>
      </c>
    </row>
    <row r="3837" spans="1:4" x14ac:dyDescent="0.25">
      <c r="A3837" s="2">
        <v>38200</v>
      </c>
      <c r="B3837" s="1" t="s">
        <v>24</v>
      </c>
      <c r="C3837" s="1">
        <v>0</v>
      </c>
      <c r="D3837" s="1">
        <f>0.030534*(1000000)</f>
        <v>30534</v>
      </c>
    </row>
    <row r="3838" spans="1:4" x14ac:dyDescent="0.25">
      <c r="A3838" s="2">
        <v>38231</v>
      </c>
      <c r="B3838" s="1" t="s">
        <v>24</v>
      </c>
      <c r="C3838" s="1">
        <v>0</v>
      </c>
      <c r="D3838" s="1">
        <f>0.030499*(1000000)</f>
        <v>30499</v>
      </c>
    </row>
    <row r="3839" spans="1:4" x14ac:dyDescent="0.25">
      <c r="A3839" s="2">
        <v>38261</v>
      </c>
      <c r="B3839" s="1" t="s">
        <v>24</v>
      </c>
      <c r="C3839" s="1">
        <v>0</v>
      </c>
      <c r="D3839" s="1">
        <f>0.031098*(1000000)</f>
        <v>31098</v>
      </c>
    </row>
    <row r="3840" spans="1:4" x14ac:dyDescent="0.25">
      <c r="A3840" s="2">
        <v>38292</v>
      </c>
      <c r="B3840" s="1" t="s">
        <v>24</v>
      </c>
      <c r="C3840" s="1">
        <v>0</v>
      </c>
      <c r="D3840" s="1">
        <f>0.031327*(1000000)</f>
        <v>31327</v>
      </c>
    </row>
    <row r="3841" spans="1:4" x14ac:dyDescent="0.25">
      <c r="A3841" s="2">
        <v>38322</v>
      </c>
      <c r="B3841" s="1" t="s">
        <v>24</v>
      </c>
      <c r="C3841" s="1">
        <v>0</v>
      </c>
      <c r="D3841" s="1">
        <f>0.031434*(1000000)</f>
        <v>31433.999999999996</v>
      </c>
    </row>
    <row r="3842" spans="1:4" x14ac:dyDescent="0.25">
      <c r="A3842" s="2">
        <v>38353</v>
      </c>
      <c r="B3842" s="1" t="s">
        <v>24</v>
      </c>
      <c r="C3842" s="1">
        <v>0</v>
      </c>
      <c r="D3842" s="1">
        <f>0.032105*(1000000)</f>
        <v>32105</v>
      </c>
    </row>
    <row r="3843" spans="1:4" x14ac:dyDescent="0.25">
      <c r="A3843" s="2">
        <v>38384</v>
      </c>
      <c r="B3843" s="1" t="s">
        <v>24</v>
      </c>
      <c r="C3843" s="1">
        <v>0</v>
      </c>
      <c r="D3843" s="1">
        <f>0.0316*(1000000)</f>
        <v>31600.000000000004</v>
      </c>
    </row>
    <row r="3844" spans="1:4" x14ac:dyDescent="0.25">
      <c r="A3844" s="2">
        <v>38412</v>
      </c>
      <c r="B3844" s="1" t="s">
        <v>24</v>
      </c>
      <c r="C3844" s="1">
        <v>0</v>
      </c>
      <c r="D3844" s="1">
        <f>0.031964*(1000000)</f>
        <v>31964</v>
      </c>
    </row>
    <row r="3845" spans="1:4" x14ac:dyDescent="0.25">
      <c r="A3845" s="2">
        <v>38443</v>
      </c>
      <c r="B3845" s="1" t="s">
        <v>24</v>
      </c>
      <c r="C3845" s="1">
        <v>0</v>
      </c>
      <c r="D3845" s="1">
        <f>0.031474*(1000000)</f>
        <v>31474.000000000004</v>
      </c>
    </row>
    <row r="3846" spans="1:4" x14ac:dyDescent="0.25">
      <c r="A3846" s="2">
        <v>38473</v>
      </c>
      <c r="B3846" s="1" t="s">
        <v>24</v>
      </c>
      <c r="C3846" s="1">
        <v>0</v>
      </c>
      <c r="D3846" s="1">
        <f>0.031199*(1000000)</f>
        <v>31199</v>
      </c>
    </row>
    <row r="3847" spans="1:4" x14ac:dyDescent="0.25">
      <c r="A3847" s="2">
        <v>38504</v>
      </c>
      <c r="B3847" s="1" t="s">
        <v>24</v>
      </c>
      <c r="C3847" s="1">
        <v>0</v>
      </c>
      <c r="D3847" s="1">
        <f>0.030891*(1000000)</f>
        <v>30891</v>
      </c>
    </row>
    <row r="3848" spans="1:4" x14ac:dyDescent="0.25">
      <c r="A3848" s="2">
        <v>38534</v>
      </c>
      <c r="B3848" s="1" t="s">
        <v>24</v>
      </c>
      <c r="C3848" s="1">
        <v>0</v>
      </c>
      <c r="D3848" s="1">
        <f>0.03084*(1000000)</f>
        <v>30840</v>
      </c>
    </row>
    <row r="3849" spans="1:4" x14ac:dyDescent="0.25">
      <c r="A3849" s="2">
        <v>38565</v>
      </c>
      <c r="B3849" s="1" t="s">
        <v>24</v>
      </c>
      <c r="C3849" s="1">
        <v>0</v>
      </c>
      <c r="D3849" s="1">
        <f>0.031142*(1000000)</f>
        <v>31142</v>
      </c>
    </row>
    <row r="3850" spans="1:4" x14ac:dyDescent="0.25">
      <c r="A3850" s="2">
        <v>38596</v>
      </c>
      <c r="B3850" s="1" t="s">
        <v>24</v>
      </c>
      <c r="C3850" s="1">
        <v>0</v>
      </c>
      <c r="D3850" s="1">
        <f>0.030932*(1000000)</f>
        <v>30932</v>
      </c>
    </row>
    <row r="3851" spans="1:4" x14ac:dyDescent="0.25">
      <c r="A3851" s="2">
        <v>38626</v>
      </c>
      <c r="B3851" s="1" t="s">
        <v>24</v>
      </c>
      <c r="C3851" s="1">
        <v>0</v>
      </c>
      <c r="D3851" s="1">
        <f>0.032231*(1000000)</f>
        <v>32231.000000000004</v>
      </c>
    </row>
    <row r="3852" spans="1:4" x14ac:dyDescent="0.25">
      <c r="A3852" s="2">
        <v>38657</v>
      </c>
      <c r="B3852" s="1" t="s">
        <v>24</v>
      </c>
      <c r="C3852" s="1">
        <v>0</v>
      </c>
      <c r="D3852" s="1">
        <f>0.031395*(1000000)</f>
        <v>31395</v>
      </c>
    </row>
    <row r="3853" spans="1:4" x14ac:dyDescent="0.25">
      <c r="A3853" s="2">
        <v>38687</v>
      </c>
      <c r="B3853" s="1" t="s">
        <v>24</v>
      </c>
      <c r="C3853" s="1">
        <v>0</v>
      </c>
      <c r="D3853" s="1">
        <f>0.031625*(1000000)</f>
        <v>31625</v>
      </c>
    </row>
    <row r="3854" spans="1:4" x14ac:dyDescent="0.25">
      <c r="A3854" s="2">
        <v>38718</v>
      </c>
      <c r="B3854" s="1" t="s">
        <v>24</v>
      </c>
      <c r="C3854" s="1">
        <v>0</v>
      </c>
      <c r="D3854" s="1">
        <f>0.03134*(1000000)</f>
        <v>31340</v>
      </c>
    </row>
    <row r="3855" spans="1:4" x14ac:dyDescent="0.25">
      <c r="A3855" s="2">
        <v>38749</v>
      </c>
      <c r="B3855" s="1" t="s">
        <v>24</v>
      </c>
      <c r="C3855" s="1">
        <v>0</v>
      </c>
      <c r="D3855" s="1">
        <f>0.031533*(1000000)</f>
        <v>31533</v>
      </c>
    </row>
    <row r="3856" spans="1:4" x14ac:dyDescent="0.25">
      <c r="A3856" s="2">
        <v>38777</v>
      </c>
      <c r="B3856" s="1" t="s">
        <v>24</v>
      </c>
      <c r="C3856" s="1">
        <v>0</v>
      </c>
      <c r="D3856" s="1">
        <f>0.031688*(1000000)</f>
        <v>31688</v>
      </c>
    </row>
    <row r="3857" spans="1:4" x14ac:dyDescent="0.25">
      <c r="A3857" s="2">
        <v>38808</v>
      </c>
      <c r="B3857" s="1" t="s">
        <v>24</v>
      </c>
      <c r="C3857" s="1">
        <v>0</v>
      </c>
      <c r="D3857" s="1">
        <f>0.031264*(1000000)</f>
        <v>31264</v>
      </c>
    </row>
    <row r="3858" spans="1:4" x14ac:dyDescent="0.25">
      <c r="A3858" s="2">
        <v>38838</v>
      </c>
      <c r="B3858" s="1" t="s">
        <v>24</v>
      </c>
      <c r="C3858" s="1">
        <v>0</v>
      </c>
      <c r="D3858" s="1">
        <f>0.030825*(1000000)</f>
        <v>30825</v>
      </c>
    </row>
    <row r="3859" spans="1:4" x14ac:dyDescent="0.25">
      <c r="A3859" s="2">
        <v>38869</v>
      </c>
      <c r="B3859" s="1" t="s">
        <v>24</v>
      </c>
      <c r="C3859" s="1">
        <v>0</v>
      </c>
      <c r="D3859" s="1">
        <f>0.03045*(1000000)</f>
        <v>30450</v>
      </c>
    </row>
    <row r="3860" spans="1:4" x14ac:dyDescent="0.25">
      <c r="A3860" s="2">
        <v>38899</v>
      </c>
      <c r="B3860" s="1" t="s">
        <v>24</v>
      </c>
      <c r="C3860" s="1">
        <v>0</v>
      </c>
      <c r="D3860" s="1">
        <f>0.030459*(1000000)</f>
        <v>30459</v>
      </c>
    </row>
    <row r="3861" spans="1:4" x14ac:dyDescent="0.25">
      <c r="A3861" s="2">
        <v>38930</v>
      </c>
      <c r="B3861" s="1" t="s">
        <v>24</v>
      </c>
      <c r="C3861" s="1">
        <v>0</v>
      </c>
      <c r="D3861" s="1">
        <f>0.030805*(1000000)</f>
        <v>30805</v>
      </c>
    </row>
    <row r="3862" spans="1:4" x14ac:dyDescent="0.25">
      <c r="A3862" s="2">
        <v>38961</v>
      </c>
      <c r="B3862" s="1" t="s">
        <v>24</v>
      </c>
      <c r="C3862" s="1">
        <v>0</v>
      </c>
      <c r="D3862" s="1">
        <f>0.031119*(1000000)</f>
        <v>31119</v>
      </c>
    </row>
    <row r="3863" spans="1:4" x14ac:dyDescent="0.25">
      <c r="A3863" s="2">
        <v>38991</v>
      </c>
      <c r="B3863" s="1" t="s">
        <v>24</v>
      </c>
      <c r="C3863" s="1">
        <v>0</v>
      </c>
      <c r="D3863" s="1">
        <f>0.031611*(1000000)</f>
        <v>31611</v>
      </c>
    </row>
    <row r="3864" spans="1:4" x14ac:dyDescent="0.25">
      <c r="A3864" s="2">
        <v>39022</v>
      </c>
      <c r="B3864" s="1" t="s">
        <v>24</v>
      </c>
      <c r="C3864" s="1">
        <v>0</v>
      </c>
      <c r="D3864" s="1">
        <f>0.032318*(1000000)</f>
        <v>32318</v>
      </c>
    </row>
    <row r="3865" spans="1:4" x14ac:dyDescent="0.25">
      <c r="A3865" s="2">
        <v>39052</v>
      </c>
      <c r="B3865" s="1" t="s">
        <v>24</v>
      </c>
      <c r="C3865" s="1">
        <v>0</v>
      </c>
      <c r="D3865" s="1">
        <f>0.032004*(1000000)</f>
        <v>32003.999999999996</v>
      </c>
    </row>
    <row r="3866" spans="1:4" x14ac:dyDescent="0.25">
      <c r="A3866" s="2">
        <v>39083</v>
      </c>
      <c r="B3866" s="1" t="s">
        <v>24</v>
      </c>
      <c r="C3866" s="1">
        <v>0</v>
      </c>
      <c r="D3866" s="1">
        <f>0.032446*(1000000)</f>
        <v>32446.000000000004</v>
      </c>
    </row>
    <row r="3867" spans="1:4" x14ac:dyDescent="0.25">
      <c r="A3867" s="2">
        <v>39114</v>
      </c>
      <c r="B3867" s="1" t="s">
        <v>24</v>
      </c>
      <c r="C3867" s="1">
        <v>0</v>
      </c>
      <c r="D3867" s="1">
        <f>0.032601*(1000000)</f>
        <v>32600.999999999996</v>
      </c>
    </row>
    <row r="3868" spans="1:4" x14ac:dyDescent="0.25">
      <c r="A3868" s="2">
        <v>39142</v>
      </c>
      <c r="B3868" s="1" t="s">
        <v>24</v>
      </c>
      <c r="C3868" s="1">
        <v>0</v>
      </c>
      <c r="D3868" s="1">
        <f>0.032447*(1000000)</f>
        <v>32446.999999999996</v>
      </c>
    </row>
    <row r="3869" spans="1:4" x14ac:dyDescent="0.25">
      <c r="A3869" s="2">
        <v>39173</v>
      </c>
      <c r="B3869" s="1" t="s">
        <v>24</v>
      </c>
      <c r="C3869" s="1">
        <v>0</v>
      </c>
      <c r="D3869" s="1">
        <f>0.032007*(1000000)</f>
        <v>32007</v>
      </c>
    </row>
    <row r="3870" spans="1:4" x14ac:dyDescent="0.25">
      <c r="A3870" s="2">
        <v>39203</v>
      </c>
      <c r="B3870" s="1" t="s">
        <v>24</v>
      </c>
      <c r="C3870" s="1">
        <v>0</v>
      </c>
      <c r="D3870" s="1">
        <f>0.032291*(1000000)</f>
        <v>32291</v>
      </c>
    </row>
    <row r="3871" spans="1:4" x14ac:dyDescent="0.25">
      <c r="A3871" s="2">
        <v>39234</v>
      </c>
      <c r="B3871" s="1" t="s">
        <v>24</v>
      </c>
      <c r="C3871" s="1">
        <v>0</v>
      </c>
      <c r="D3871" s="1">
        <f>0.031906*(1000000)</f>
        <v>31905.999999999996</v>
      </c>
    </row>
    <row r="3872" spans="1:4" x14ac:dyDescent="0.25">
      <c r="A3872" s="2">
        <v>39264</v>
      </c>
      <c r="B3872" s="1" t="s">
        <v>24</v>
      </c>
      <c r="C3872" s="1">
        <v>0</v>
      </c>
      <c r="D3872" s="1">
        <f>0.032075*(1000000)</f>
        <v>32075</v>
      </c>
    </row>
    <row r="3873" spans="1:4" x14ac:dyDescent="0.25">
      <c r="A3873" s="2">
        <v>39295</v>
      </c>
      <c r="B3873" s="1" t="s">
        <v>24</v>
      </c>
      <c r="C3873" s="1">
        <v>0</v>
      </c>
      <c r="D3873" s="1">
        <f>0.033117*(1000000)</f>
        <v>33117</v>
      </c>
    </row>
    <row r="3874" spans="1:4" x14ac:dyDescent="0.25">
      <c r="A3874" s="2">
        <v>39326</v>
      </c>
      <c r="B3874" s="1" t="s">
        <v>24</v>
      </c>
      <c r="C3874" s="1">
        <v>0</v>
      </c>
      <c r="D3874" s="1">
        <f>0.033047*(1000000)</f>
        <v>33047</v>
      </c>
    </row>
    <row r="3875" spans="1:4" x14ac:dyDescent="0.25">
      <c r="A3875" s="2">
        <v>39356</v>
      </c>
      <c r="B3875" s="1" t="s">
        <v>24</v>
      </c>
      <c r="C3875" s="1">
        <v>0</v>
      </c>
      <c r="D3875" s="1">
        <f>0.03375*(1000000)</f>
        <v>33750</v>
      </c>
    </row>
    <row r="3876" spans="1:4" x14ac:dyDescent="0.25">
      <c r="A3876" s="2">
        <v>39387</v>
      </c>
      <c r="B3876" s="1" t="s">
        <v>24</v>
      </c>
      <c r="C3876" s="1">
        <v>0</v>
      </c>
      <c r="D3876" s="1">
        <f>0.034353*(1000000)</f>
        <v>34353</v>
      </c>
    </row>
    <row r="3877" spans="1:4" x14ac:dyDescent="0.25">
      <c r="A3877" s="2">
        <v>39417</v>
      </c>
      <c r="B3877" s="1" t="s">
        <v>24</v>
      </c>
      <c r="C3877" s="1">
        <v>0</v>
      </c>
      <c r="D3877" s="1">
        <f>0.035154*(1000000)</f>
        <v>35154</v>
      </c>
    </row>
    <row r="3878" spans="1:4" x14ac:dyDescent="0.25">
      <c r="A3878" s="2">
        <v>39448</v>
      </c>
      <c r="B3878" s="1" t="s">
        <v>24</v>
      </c>
      <c r="C3878" s="1">
        <v>0</v>
      </c>
      <c r="D3878" s="1">
        <f>0.035646*(1000000)</f>
        <v>35646</v>
      </c>
    </row>
    <row r="3879" spans="1:4" x14ac:dyDescent="0.25">
      <c r="A3879" s="2">
        <v>39479</v>
      </c>
      <c r="B3879" s="1" t="s">
        <v>24</v>
      </c>
      <c r="C3879" s="1">
        <v>0</v>
      </c>
      <c r="D3879" s="1">
        <f>0.035419*(1000000)</f>
        <v>35419</v>
      </c>
    </row>
    <row r="3880" spans="1:4" x14ac:dyDescent="0.25">
      <c r="A3880" s="2">
        <v>39508</v>
      </c>
      <c r="B3880" s="1" t="s">
        <v>24</v>
      </c>
      <c r="C3880" s="1">
        <v>0</v>
      </c>
      <c r="D3880" s="1">
        <f>0.035008*(1000000)</f>
        <v>35008</v>
      </c>
    </row>
    <row r="3881" spans="1:4" x14ac:dyDescent="0.25">
      <c r="A3881" s="2">
        <v>39539</v>
      </c>
      <c r="B3881" s="1" t="s">
        <v>24</v>
      </c>
      <c r="C3881" s="1">
        <v>0</v>
      </c>
      <c r="D3881" s="1">
        <f>0.034152*(1000000)</f>
        <v>34152</v>
      </c>
    </row>
    <row r="3882" spans="1:4" x14ac:dyDescent="0.25">
      <c r="A3882" s="2">
        <v>39569</v>
      </c>
      <c r="B3882" s="1" t="s">
        <v>24</v>
      </c>
      <c r="C3882" s="1">
        <v>0</v>
      </c>
      <c r="D3882" s="1">
        <f>0.033849*(1000000)</f>
        <v>33849</v>
      </c>
    </row>
    <row r="3883" spans="1:4" x14ac:dyDescent="0.25">
      <c r="A3883" s="2">
        <v>39600</v>
      </c>
      <c r="B3883" s="1" t="s">
        <v>24</v>
      </c>
      <c r="C3883" s="1">
        <v>0</v>
      </c>
      <c r="D3883" s="1">
        <f>0.034699*(1000000)</f>
        <v>34699</v>
      </c>
    </row>
    <row r="3884" spans="1:4" x14ac:dyDescent="0.25">
      <c r="A3884" s="2">
        <v>39630</v>
      </c>
      <c r="B3884" s="1" t="s">
        <v>24</v>
      </c>
      <c r="C3884" s="1">
        <v>0</v>
      </c>
      <c r="D3884" s="1">
        <f>0.033594*(1000000)</f>
        <v>33594</v>
      </c>
    </row>
    <row r="3885" spans="1:4" x14ac:dyDescent="0.25">
      <c r="A3885" s="2">
        <v>39661</v>
      </c>
      <c r="B3885" s="1" t="s">
        <v>24</v>
      </c>
      <c r="C3885" s="1">
        <v>0</v>
      </c>
      <c r="D3885" s="1">
        <f>0.03316*(1000000)</f>
        <v>33160</v>
      </c>
    </row>
    <row r="3886" spans="1:4" x14ac:dyDescent="0.25">
      <c r="A3886" s="2">
        <v>39692</v>
      </c>
      <c r="B3886" s="1" t="s">
        <v>24</v>
      </c>
      <c r="C3886" s="1">
        <v>0</v>
      </c>
      <c r="D3886" s="1">
        <f>0.032182*(1000000)</f>
        <v>32182.000000000004</v>
      </c>
    </row>
    <row r="3887" spans="1:4" x14ac:dyDescent="0.25">
      <c r="A3887" s="2">
        <v>39722</v>
      </c>
      <c r="B3887" s="1" t="s">
        <v>24</v>
      </c>
      <c r="C3887" s="1">
        <v>0</v>
      </c>
      <c r="D3887" s="1">
        <f>0.034572*(1000000)</f>
        <v>34572</v>
      </c>
    </row>
    <row r="3888" spans="1:4" x14ac:dyDescent="0.25">
      <c r="A3888" s="2">
        <v>39753</v>
      </c>
      <c r="B3888" s="1" t="s">
        <v>24</v>
      </c>
      <c r="C3888" s="1">
        <v>0</v>
      </c>
      <c r="D3888" s="1">
        <f>0.035*(1000000)</f>
        <v>35000</v>
      </c>
    </row>
    <row r="3889" spans="1:4" x14ac:dyDescent="0.25">
      <c r="A3889" s="2">
        <v>39783</v>
      </c>
      <c r="B3889" s="1" t="s">
        <v>24</v>
      </c>
      <c r="C3889" s="1">
        <v>0</v>
      </c>
      <c r="D3889" s="1">
        <f>0.035077*(1000000)</f>
        <v>35077</v>
      </c>
    </row>
    <row r="3890" spans="1:4" x14ac:dyDescent="0.25">
      <c r="A3890" s="2">
        <v>39814</v>
      </c>
      <c r="B3890" s="1" t="s">
        <v>24</v>
      </c>
      <c r="C3890" s="1">
        <v>0</v>
      </c>
      <c r="D3890" s="1">
        <f>0.034705*(1000000)</f>
        <v>34705</v>
      </c>
    </row>
    <row r="3891" spans="1:4" x14ac:dyDescent="0.25">
      <c r="A3891" s="2">
        <v>39845</v>
      </c>
      <c r="B3891" s="1" t="s">
        <v>24</v>
      </c>
      <c r="C3891" s="1">
        <v>0</v>
      </c>
      <c r="D3891" s="1">
        <f>0.035491*(1000000)</f>
        <v>35491</v>
      </c>
    </row>
    <row r="3892" spans="1:4" x14ac:dyDescent="0.25">
      <c r="A3892" s="2">
        <v>39873</v>
      </c>
      <c r="B3892" s="1" t="s">
        <v>24</v>
      </c>
      <c r="C3892" s="1">
        <v>0</v>
      </c>
      <c r="D3892" s="1">
        <f>0.034581*(1000000)</f>
        <v>34581</v>
      </c>
    </row>
    <row r="3893" spans="1:4" x14ac:dyDescent="0.25">
      <c r="A3893" s="2">
        <v>39904</v>
      </c>
      <c r="B3893" s="1" t="s">
        <v>24</v>
      </c>
      <c r="C3893" s="1">
        <v>0</v>
      </c>
      <c r="D3893" s="1">
        <f>0.033794*(1000000)</f>
        <v>33794</v>
      </c>
    </row>
    <row r="3894" spans="1:4" x14ac:dyDescent="0.25">
      <c r="A3894" s="2">
        <v>39934</v>
      </c>
      <c r="B3894" s="1" t="s">
        <v>24</v>
      </c>
      <c r="C3894" s="1">
        <v>0</v>
      </c>
      <c r="D3894" s="1">
        <f>0.033031*(1000000)</f>
        <v>33031</v>
      </c>
    </row>
    <row r="3895" spans="1:4" x14ac:dyDescent="0.25">
      <c r="A3895" s="2">
        <v>39965</v>
      </c>
      <c r="B3895" s="1" t="s">
        <v>24</v>
      </c>
      <c r="C3895" s="1">
        <v>0</v>
      </c>
      <c r="D3895" s="1">
        <f>0.033101*(1000000)</f>
        <v>33101</v>
      </c>
    </row>
    <row r="3896" spans="1:4" x14ac:dyDescent="0.25">
      <c r="A3896" s="2">
        <v>39995</v>
      </c>
      <c r="B3896" s="1" t="s">
        <v>24</v>
      </c>
      <c r="C3896" s="1">
        <v>0</v>
      </c>
      <c r="D3896" s="1">
        <f>0.031435*(1000000)</f>
        <v>31434.999999999996</v>
      </c>
    </row>
    <row r="3897" spans="1:4" x14ac:dyDescent="0.25">
      <c r="A3897" s="2">
        <v>40026</v>
      </c>
      <c r="B3897" s="1" t="s">
        <v>24</v>
      </c>
      <c r="C3897" s="1">
        <v>0</v>
      </c>
      <c r="D3897" s="1">
        <f>0.032415*(1000000)</f>
        <v>32415</v>
      </c>
    </row>
    <row r="3898" spans="1:4" x14ac:dyDescent="0.25">
      <c r="A3898" s="2">
        <v>40057</v>
      </c>
      <c r="B3898" s="1" t="s">
        <v>24</v>
      </c>
      <c r="C3898" s="1">
        <v>0</v>
      </c>
      <c r="D3898" s="1">
        <f>0.032566*(1000000)</f>
        <v>32565.999999999996</v>
      </c>
    </row>
    <row r="3899" spans="1:4" x14ac:dyDescent="0.25">
      <c r="A3899" s="2">
        <v>40087</v>
      </c>
      <c r="B3899" s="1" t="s">
        <v>24</v>
      </c>
      <c r="C3899" s="1">
        <v>0</v>
      </c>
      <c r="D3899" s="1">
        <f>0.033472*(1000000)</f>
        <v>33472</v>
      </c>
    </row>
    <row r="3900" spans="1:4" x14ac:dyDescent="0.25">
      <c r="A3900" s="2">
        <v>40118</v>
      </c>
      <c r="B3900" s="1" t="s">
        <v>24</v>
      </c>
      <c r="C3900" s="1">
        <v>0</v>
      </c>
      <c r="D3900" s="1">
        <f>0.034244*(1000000)</f>
        <v>34244</v>
      </c>
    </row>
    <row r="3901" spans="1:4" x14ac:dyDescent="0.25">
      <c r="A3901" s="2">
        <v>40148</v>
      </c>
      <c r="B3901" s="1" t="s">
        <v>24</v>
      </c>
      <c r="C3901" s="1">
        <v>0</v>
      </c>
      <c r="D3901" s="1">
        <f>0.033268*(1000000)</f>
        <v>33268</v>
      </c>
    </row>
    <row r="3902" spans="1:4" x14ac:dyDescent="0.25">
      <c r="A3902" s="2">
        <v>40179</v>
      </c>
      <c r="B3902" s="1" t="s">
        <v>24</v>
      </c>
      <c r="C3902" s="1">
        <v>0</v>
      </c>
      <c r="D3902" s="1">
        <f>0.033954*(1000000)</f>
        <v>33954</v>
      </c>
    </row>
    <row r="3903" spans="1:4" x14ac:dyDescent="0.25">
      <c r="A3903" s="2">
        <v>40210</v>
      </c>
      <c r="B3903" s="1" t="s">
        <v>24</v>
      </c>
      <c r="C3903" s="1">
        <v>0</v>
      </c>
      <c r="D3903" s="1">
        <f>0.034756*(1000000)</f>
        <v>34756</v>
      </c>
    </row>
    <row r="3904" spans="1:4" x14ac:dyDescent="0.25">
      <c r="A3904" s="2">
        <v>40238</v>
      </c>
      <c r="B3904" s="1" t="s">
        <v>24</v>
      </c>
      <c r="C3904" s="1">
        <v>0</v>
      </c>
      <c r="D3904" s="1">
        <f>0.034439*(1000000)</f>
        <v>34439</v>
      </c>
    </row>
    <row r="3905" spans="1:4" x14ac:dyDescent="0.25">
      <c r="A3905" s="2">
        <v>40269</v>
      </c>
      <c r="B3905" s="1" t="s">
        <v>24</v>
      </c>
      <c r="C3905" s="1">
        <v>0</v>
      </c>
      <c r="D3905" s="1">
        <f>0.035069*(1000000)</f>
        <v>35069</v>
      </c>
    </row>
    <row r="3906" spans="1:4" x14ac:dyDescent="0.25">
      <c r="A3906" s="2">
        <v>40299</v>
      </c>
      <c r="B3906" s="1" t="s">
        <v>24</v>
      </c>
      <c r="C3906" s="1">
        <v>0</v>
      </c>
      <c r="D3906" s="1">
        <f>0.034205*(1000000)</f>
        <v>34205</v>
      </c>
    </row>
    <row r="3907" spans="1:4" x14ac:dyDescent="0.25">
      <c r="A3907" s="2">
        <v>40330</v>
      </c>
      <c r="B3907" s="1" t="s">
        <v>24</v>
      </c>
      <c r="C3907" s="1">
        <v>0</v>
      </c>
      <c r="D3907" s="1">
        <f>0.033743*(1000000)</f>
        <v>33743</v>
      </c>
    </row>
    <row r="3908" spans="1:4" x14ac:dyDescent="0.25">
      <c r="A3908" s="2">
        <v>40360</v>
      </c>
      <c r="B3908" s="1" t="s">
        <v>24</v>
      </c>
      <c r="C3908" s="1">
        <v>0</v>
      </c>
      <c r="D3908" s="1">
        <f>0.03524*(1000000)</f>
        <v>35240</v>
      </c>
    </row>
    <row r="3909" spans="1:4" x14ac:dyDescent="0.25">
      <c r="A3909" s="2">
        <v>40391</v>
      </c>
      <c r="B3909" s="1" t="s">
        <v>24</v>
      </c>
      <c r="C3909" s="1">
        <v>0</v>
      </c>
      <c r="D3909" s="1">
        <f>0.035512*(1000000)</f>
        <v>35512</v>
      </c>
    </row>
    <row r="3910" spans="1:4" x14ac:dyDescent="0.25">
      <c r="A3910" s="2">
        <v>40422</v>
      </c>
      <c r="B3910" s="1" t="s">
        <v>24</v>
      </c>
      <c r="C3910" s="1">
        <v>0</v>
      </c>
      <c r="D3910" s="1">
        <f>0.034533*(1000000)</f>
        <v>34533</v>
      </c>
    </row>
    <row r="3911" spans="1:4" x14ac:dyDescent="0.25">
      <c r="A3911" s="2">
        <v>40452</v>
      </c>
      <c r="B3911" s="1" t="s">
        <v>24</v>
      </c>
      <c r="C3911" s="1">
        <v>0</v>
      </c>
      <c r="D3911" s="1">
        <f>0.036475*(1000000)</f>
        <v>36475</v>
      </c>
    </row>
    <row r="3912" spans="1:4" x14ac:dyDescent="0.25">
      <c r="A3912" s="2">
        <v>40483</v>
      </c>
      <c r="B3912" s="1" t="s">
        <v>24</v>
      </c>
      <c r="C3912" s="1">
        <v>0</v>
      </c>
      <c r="D3912" s="1">
        <f>0.036719*(1000000)</f>
        <v>36719</v>
      </c>
    </row>
    <row r="3913" spans="1:4" x14ac:dyDescent="0.25">
      <c r="A3913" s="2">
        <v>40513</v>
      </c>
      <c r="B3913" s="1" t="s">
        <v>24</v>
      </c>
      <c r="C3913" s="1">
        <v>0</v>
      </c>
      <c r="D3913" s="1">
        <f>0.036931*(1000000)</f>
        <v>36931</v>
      </c>
    </row>
    <row r="3914" spans="1:4" x14ac:dyDescent="0.25">
      <c r="A3914" s="2">
        <v>40544</v>
      </c>
      <c r="B3914" s="1" t="s">
        <v>24</v>
      </c>
      <c r="C3914" s="1">
        <v>0</v>
      </c>
      <c r="D3914" s="1">
        <f>0.036827*(1000000)</f>
        <v>36827</v>
      </c>
    </row>
    <row r="3915" spans="1:4" x14ac:dyDescent="0.25">
      <c r="A3915" s="2">
        <v>40575</v>
      </c>
      <c r="B3915" s="1" t="s">
        <v>24</v>
      </c>
      <c r="C3915" s="1">
        <v>0</v>
      </c>
      <c r="D3915" s="1">
        <f>0.03475*(1000000)</f>
        <v>34750</v>
      </c>
    </row>
    <row r="3916" spans="1:4" x14ac:dyDescent="0.25">
      <c r="A3916" s="2">
        <v>40603</v>
      </c>
      <c r="B3916" s="1" t="s">
        <v>24</v>
      </c>
      <c r="C3916" s="1">
        <v>0</v>
      </c>
      <c r="D3916" s="1">
        <f>0.036361*(1000000)</f>
        <v>36361</v>
      </c>
    </row>
    <row r="3917" spans="1:4" x14ac:dyDescent="0.25">
      <c r="A3917" s="2">
        <v>40634</v>
      </c>
      <c r="B3917" s="1" t="s">
        <v>24</v>
      </c>
      <c r="C3917" s="1">
        <v>0</v>
      </c>
      <c r="D3917" s="1">
        <f>0.036828*(1000000)</f>
        <v>36828</v>
      </c>
    </row>
    <row r="3918" spans="1:4" x14ac:dyDescent="0.25">
      <c r="A3918" s="2">
        <v>40664</v>
      </c>
      <c r="B3918" s="1" t="s">
        <v>24</v>
      </c>
      <c r="C3918" s="1">
        <v>0</v>
      </c>
      <c r="D3918" s="1">
        <f>0.037989*(1000000)</f>
        <v>37989</v>
      </c>
    </row>
    <row r="3919" spans="1:4" x14ac:dyDescent="0.25">
      <c r="A3919" s="2">
        <v>40695</v>
      </c>
      <c r="B3919" s="1" t="s">
        <v>24</v>
      </c>
      <c r="C3919" s="1">
        <v>0</v>
      </c>
      <c r="D3919" s="1">
        <f>0.037372*(1000000)</f>
        <v>37372</v>
      </c>
    </row>
    <row r="3920" spans="1:4" x14ac:dyDescent="0.25">
      <c r="A3920" s="2">
        <v>40725</v>
      </c>
      <c r="B3920" s="1" t="s">
        <v>24</v>
      </c>
      <c r="C3920" s="1">
        <v>0</v>
      </c>
      <c r="D3920" s="1">
        <f>0.038396*(1000000)</f>
        <v>38396</v>
      </c>
    </row>
    <row r="3921" spans="1:4" x14ac:dyDescent="0.25">
      <c r="A3921" s="2">
        <v>40756</v>
      </c>
      <c r="B3921" s="1" t="s">
        <v>24</v>
      </c>
      <c r="C3921" s="1">
        <v>0</v>
      </c>
      <c r="D3921" s="1">
        <f>0.038027*(1000000)</f>
        <v>38027</v>
      </c>
    </row>
    <row r="3922" spans="1:4" x14ac:dyDescent="0.25">
      <c r="A3922" s="2">
        <v>40787</v>
      </c>
      <c r="B3922" s="1" t="s">
        <v>24</v>
      </c>
      <c r="C3922" s="1">
        <v>0</v>
      </c>
      <c r="D3922" s="1">
        <f>0.038488*(1000000)</f>
        <v>38488</v>
      </c>
    </row>
    <row r="3923" spans="1:4" x14ac:dyDescent="0.25">
      <c r="A3923" s="2">
        <v>40817</v>
      </c>
      <c r="B3923" s="1" t="s">
        <v>24</v>
      </c>
      <c r="C3923" s="1">
        <v>0</v>
      </c>
      <c r="D3923" s="1">
        <f>0.03831*(1000000)</f>
        <v>38310</v>
      </c>
    </row>
    <row r="3924" spans="1:4" x14ac:dyDescent="0.25">
      <c r="A3924" s="2">
        <v>40848</v>
      </c>
      <c r="B3924" s="1" t="s">
        <v>24</v>
      </c>
      <c r="C3924" s="1">
        <v>0</v>
      </c>
      <c r="D3924" s="1">
        <f>0.03931*(1000000)</f>
        <v>39310</v>
      </c>
    </row>
    <row r="3925" spans="1:4" x14ac:dyDescent="0.25">
      <c r="A3925" s="2">
        <v>40878</v>
      </c>
      <c r="B3925" s="1" t="s">
        <v>24</v>
      </c>
      <c r="C3925" s="1">
        <v>0</v>
      </c>
      <c r="D3925" s="1">
        <f>0.039461*(1000000)</f>
        <v>39461</v>
      </c>
    </row>
    <row r="3926" spans="1:4" x14ac:dyDescent="0.25">
      <c r="A3926" s="2">
        <v>40909</v>
      </c>
      <c r="B3926" s="1" t="s">
        <v>24</v>
      </c>
      <c r="C3926" s="1">
        <v>0</v>
      </c>
      <c r="D3926" s="1">
        <f>0.040267*(1000000)</f>
        <v>40267</v>
      </c>
    </row>
    <row r="3927" spans="1:4" x14ac:dyDescent="0.25">
      <c r="A3927" s="2">
        <v>40940</v>
      </c>
      <c r="B3927" s="1" t="s">
        <v>24</v>
      </c>
      <c r="C3927" s="1">
        <v>0</v>
      </c>
      <c r="D3927" s="1">
        <f>0.041505*(1000000)</f>
        <v>41505</v>
      </c>
    </row>
    <row r="3928" spans="1:4" x14ac:dyDescent="0.25">
      <c r="A3928" s="2">
        <v>40969</v>
      </c>
      <c r="B3928" s="1" t="s">
        <v>24</v>
      </c>
      <c r="C3928" s="1">
        <v>0</v>
      </c>
      <c r="D3928" s="1">
        <f>0.041552*(1000000)</f>
        <v>41552</v>
      </c>
    </row>
    <row r="3929" spans="1:4" x14ac:dyDescent="0.25">
      <c r="A3929" s="2">
        <v>41000</v>
      </c>
      <c r="B3929" s="1" t="s">
        <v>24</v>
      </c>
      <c r="C3929" s="1">
        <v>0</v>
      </c>
      <c r="D3929" s="1">
        <f>0.043729*(1000000)</f>
        <v>43729</v>
      </c>
    </row>
    <row r="3930" spans="1:4" x14ac:dyDescent="0.25">
      <c r="A3930" s="2">
        <v>41030</v>
      </c>
      <c r="B3930" s="1" t="s">
        <v>24</v>
      </c>
      <c r="C3930" s="1">
        <v>0</v>
      </c>
      <c r="D3930" s="1">
        <f>0.043466*(1000000)</f>
        <v>43466</v>
      </c>
    </row>
    <row r="3931" spans="1:4" x14ac:dyDescent="0.25">
      <c r="A3931" s="2">
        <v>41061</v>
      </c>
      <c r="B3931" s="1" t="s">
        <v>24</v>
      </c>
      <c r="C3931" s="1">
        <v>0</v>
      </c>
      <c r="D3931" s="1">
        <f>0.043308*(1000000)</f>
        <v>43308</v>
      </c>
    </row>
    <row r="3932" spans="1:4" x14ac:dyDescent="0.25">
      <c r="A3932" s="2">
        <v>41091</v>
      </c>
      <c r="B3932" s="1" t="s">
        <v>24</v>
      </c>
      <c r="C3932" s="1">
        <v>0</v>
      </c>
      <c r="D3932" s="1">
        <f>0.045524*(1000000)</f>
        <v>45524</v>
      </c>
    </row>
    <row r="3933" spans="1:4" x14ac:dyDescent="0.25">
      <c r="A3933" s="2">
        <v>41122</v>
      </c>
      <c r="B3933" s="1" t="s">
        <v>24</v>
      </c>
      <c r="C3933" s="1">
        <v>0</v>
      </c>
      <c r="D3933" s="1">
        <f>0.045771*(1000000)</f>
        <v>45771</v>
      </c>
    </row>
    <row r="3934" spans="1:4" x14ac:dyDescent="0.25">
      <c r="A3934" s="2">
        <v>41153</v>
      </c>
      <c r="B3934" s="1" t="s">
        <v>24</v>
      </c>
      <c r="C3934" s="1">
        <v>0</v>
      </c>
      <c r="D3934" s="1">
        <f>0.047263*(1000000)</f>
        <v>47263</v>
      </c>
    </row>
    <row r="3935" spans="1:4" x14ac:dyDescent="0.25">
      <c r="A3935" s="2">
        <v>41183</v>
      </c>
      <c r="B3935" s="1" t="s">
        <v>24</v>
      </c>
      <c r="C3935" s="1">
        <v>0</v>
      </c>
      <c r="D3935" s="1">
        <f>0.050228*(1000000)</f>
        <v>50228</v>
      </c>
    </row>
    <row r="3936" spans="1:4" x14ac:dyDescent="0.25">
      <c r="A3936" s="2">
        <v>41214</v>
      </c>
      <c r="B3936" s="1" t="s">
        <v>24</v>
      </c>
      <c r="C3936" s="1">
        <v>0</v>
      </c>
      <c r="D3936" s="1">
        <f>0.05107*(1000000)</f>
        <v>51070</v>
      </c>
    </row>
    <row r="3937" spans="1:4" x14ac:dyDescent="0.25">
      <c r="A3937" s="2">
        <v>41244</v>
      </c>
      <c r="B3937" s="1" t="s">
        <v>24</v>
      </c>
      <c r="C3937" s="1">
        <v>0</v>
      </c>
      <c r="D3937" s="1">
        <f>0.052284*(1000000)</f>
        <v>52284</v>
      </c>
    </row>
    <row r="3938" spans="1:4" x14ac:dyDescent="0.25">
      <c r="A3938" s="2">
        <v>41275</v>
      </c>
      <c r="B3938" s="1" t="s">
        <v>24</v>
      </c>
      <c r="C3938" s="1">
        <v>0</v>
      </c>
      <c r="D3938" s="1">
        <f>0.053524*(1000000)</f>
        <v>53524</v>
      </c>
    </row>
    <row r="3939" spans="1:4" x14ac:dyDescent="0.25">
      <c r="A3939" s="2">
        <v>41306</v>
      </c>
      <c r="B3939" s="1" t="s">
        <v>24</v>
      </c>
      <c r="C3939" s="1">
        <v>0</v>
      </c>
      <c r="D3939" s="1">
        <f>0.053206*(1000000)</f>
        <v>53206</v>
      </c>
    </row>
    <row r="3940" spans="1:4" x14ac:dyDescent="0.25">
      <c r="A3940" s="2">
        <v>41334</v>
      </c>
      <c r="B3940" s="1" t="s">
        <v>24</v>
      </c>
      <c r="C3940" s="1">
        <v>0</v>
      </c>
      <c r="D3940" s="1">
        <f>0.052203*(1000000)</f>
        <v>52203</v>
      </c>
    </row>
    <row r="3941" spans="1:4" x14ac:dyDescent="0.25">
      <c r="A3941" s="2">
        <v>41365</v>
      </c>
      <c r="B3941" s="1" t="s">
        <v>24</v>
      </c>
      <c r="C3941" s="1">
        <v>0</v>
      </c>
      <c r="D3941" s="1">
        <f>0.052444*(1000000)</f>
        <v>52444</v>
      </c>
    </row>
    <row r="3942" spans="1:4" x14ac:dyDescent="0.25">
      <c r="A3942" s="2">
        <v>41395</v>
      </c>
      <c r="B3942" s="1" t="s">
        <v>24</v>
      </c>
      <c r="C3942" s="1">
        <v>0</v>
      </c>
      <c r="D3942" s="1">
        <f>0.04913*(1000000)</f>
        <v>49130</v>
      </c>
    </row>
    <row r="3943" spans="1:4" x14ac:dyDescent="0.25">
      <c r="A3943" s="2">
        <v>41426</v>
      </c>
      <c r="B3943" s="1" t="s">
        <v>24</v>
      </c>
      <c r="C3943" s="1">
        <v>0</v>
      </c>
      <c r="D3943" s="1">
        <f>0.050503*(1000000)</f>
        <v>50503</v>
      </c>
    </row>
    <row r="3944" spans="1:4" x14ac:dyDescent="0.25">
      <c r="A3944" s="2">
        <v>41456</v>
      </c>
      <c r="B3944" s="1" t="s">
        <v>24</v>
      </c>
      <c r="C3944" s="1">
        <v>0</v>
      </c>
      <c r="D3944" s="1">
        <f>0.050295*(1000000)</f>
        <v>50295</v>
      </c>
    </row>
    <row r="3945" spans="1:4" x14ac:dyDescent="0.25">
      <c r="A3945" s="2">
        <v>41487</v>
      </c>
      <c r="B3945" s="1" t="s">
        <v>24</v>
      </c>
      <c r="C3945" s="1">
        <v>0</v>
      </c>
      <c r="D3945" s="1">
        <f>0.04946*(1000000)</f>
        <v>49460</v>
      </c>
    </row>
    <row r="3946" spans="1:4" x14ac:dyDescent="0.25">
      <c r="A3946" s="2">
        <v>41518</v>
      </c>
      <c r="B3946" s="1" t="s">
        <v>24</v>
      </c>
      <c r="C3946" s="1">
        <v>0</v>
      </c>
      <c r="D3946" s="1">
        <f>0.05049*(1000000)</f>
        <v>50490</v>
      </c>
    </row>
    <row r="3947" spans="1:4" x14ac:dyDescent="0.25">
      <c r="A3947" s="2">
        <v>41548</v>
      </c>
      <c r="B3947" s="1" t="s">
        <v>24</v>
      </c>
      <c r="C3947" s="1">
        <v>0</v>
      </c>
      <c r="D3947" s="1">
        <f>0.053271*(1000000)</f>
        <v>53271</v>
      </c>
    </row>
    <row r="3948" spans="1:4" x14ac:dyDescent="0.25">
      <c r="A3948" s="2">
        <v>41579</v>
      </c>
      <c r="B3948" s="1" t="s">
        <v>24</v>
      </c>
      <c r="C3948" s="1">
        <v>0</v>
      </c>
      <c r="D3948" s="1">
        <f>0.050983*(1000000)</f>
        <v>50983</v>
      </c>
    </row>
    <row r="3949" spans="1:4" x14ac:dyDescent="0.25">
      <c r="A3949" s="2">
        <v>41609</v>
      </c>
      <c r="B3949" s="1" t="s">
        <v>24</v>
      </c>
      <c r="C3949" s="1">
        <v>0</v>
      </c>
      <c r="D3949" s="1">
        <f>0.051986*(1000000)</f>
        <v>51986</v>
      </c>
    </row>
    <row r="3950" spans="1:4" x14ac:dyDescent="0.25">
      <c r="A3950" s="2">
        <v>41640</v>
      </c>
      <c r="B3950" s="1" t="s">
        <v>24</v>
      </c>
      <c r="C3950" s="1">
        <v>0</v>
      </c>
      <c r="D3950" s="1">
        <f>0.051912*(1000000)</f>
        <v>51912</v>
      </c>
    </row>
    <row r="3951" spans="1:4" x14ac:dyDescent="0.25">
      <c r="A3951" s="2">
        <v>41671</v>
      </c>
      <c r="B3951" s="1" t="s">
        <v>24</v>
      </c>
      <c r="C3951" s="1">
        <v>0</v>
      </c>
      <c r="D3951" s="1">
        <f>0.051539*(1000000)</f>
        <v>51539</v>
      </c>
    </row>
    <row r="3952" spans="1:4" x14ac:dyDescent="0.25">
      <c r="A3952" s="2">
        <v>41699</v>
      </c>
      <c r="B3952" s="1" t="s">
        <v>24</v>
      </c>
      <c r="C3952" s="1">
        <v>0</v>
      </c>
      <c r="D3952" s="1">
        <f>0.051677*(1000000)</f>
        <v>51677</v>
      </c>
    </row>
    <row r="3953" spans="1:4" x14ac:dyDescent="0.25">
      <c r="A3953" s="2">
        <v>41730</v>
      </c>
      <c r="B3953" s="1" t="s">
        <v>24</v>
      </c>
      <c r="C3953" s="1">
        <v>0</v>
      </c>
      <c r="D3953" s="1">
        <f>0.050922*(1000000)</f>
        <v>50922</v>
      </c>
    </row>
    <row r="3954" spans="1:4" x14ac:dyDescent="0.25">
      <c r="A3954" s="2">
        <v>41760</v>
      </c>
      <c r="B3954" s="1" t="s">
        <v>24</v>
      </c>
      <c r="C3954" s="1">
        <v>0</v>
      </c>
      <c r="D3954" s="1">
        <f>0.052166*(1000000)</f>
        <v>52166</v>
      </c>
    </row>
    <row r="3955" spans="1:4" x14ac:dyDescent="0.25">
      <c r="A3955" s="2">
        <v>41791</v>
      </c>
      <c r="B3955" s="1" t="s">
        <v>24</v>
      </c>
      <c r="C3955" s="1">
        <v>0</v>
      </c>
      <c r="D3955" s="1">
        <f>0.052399*(1000000)</f>
        <v>52399</v>
      </c>
    </row>
    <row r="3956" spans="1:4" x14ac:dyDescent="0.25">
      <c r="A3956" s="2">
        <v>41821</v>
      </c>
      <c r="B3956" s="1" t="s">
        <v>24</v>
      </c>
      <c r="C3956" s="1">
        <v>0</v>
      </c>
      <c r="D3956" s="1">
        <f>0.052686*(1000000)</f>
        <v>52686</v>
      </c>
    </row>
    <row r="3957" spans="1:4" x14ac:dyDescent="0.25">
      <c r="A3957" s="2">
        <v>41852</v>
      </c>
      <c r="B3957" s="1" t="s">
        <v>24</v>
      </c>
      <c r="C3957" s="1">
        <v>0</v>
      </c>
      <c r="D3957" s="1">
        <f>0.052991*(1000000)</f>
        <v>52991</v>
      </c>
    </row>
    <row r="3958" spans="1:4" x14ac:dyDescent="0.25">
      <c r="A3958" s="2">
        <v>41883</v>
      </c>
      <c r="B3958" s="1" t="s">
        <v>24</v>
      </c>
      <c r="C3958" s="1">
        <v>0</v>
      </c>
      <c r="D3958" s="1">
        <f>0.053319*(1000000)</f>
        <v>53319</v>
      </c>
    </row>
    <row r="3959" spans="1:4" x14ac:dyDescent="0.25">
      <c r="A3959" s="2">
        <v>41913</v>
      </c>
      <c r="B3959" s="1" t="s">
        <v>24</v>
      </c>
      <c r="C3959" s="1">
        <v>0</v>
      </c>
      <c r="D3959" s="1">
        <f>0.053631*(1000000)</f>
        <v>53631</v>
      </c>
    </row>
    <row r="3960" spans="1:4" x14ac:dyDescent="0.25">
      <c r="A3960" s="2">
        <v>41944</v>
      </c>
      <c r="B3960" s="1" t="s">
        <v>24</v>
      </c>
      <c r="C3960" s="1">
        <v>0</v>
      </c>
      <c r="D3960" s="1">
        <f>0.053941*(1000000)</f>
        <v>53941</v>
      </c>
    </row>
    <row r="3961" spans="1:4" x14ac:dyDescent="0.25">
      <c r="A3961" s="2">
        <v>41974</v>
      </c>
      <c r="B3961" s="1" t="s">
        <v>24</v>
      </c>
      <c r="C3961" s="1">
        <v>0</v>
      </c>
      <c r="D3961" s="1">
        <f>0.054237*(1000000)</f>
        <v>54237</v>
      </c>
    </row>
    <row r="3962" spans="1:4" x14ac:dyDescent="0.25">
      <c r="A3962" s="2">
        <v>36526</v>
      </c>
      <c r="B3962" s="1" t="s">
        <v>25</v>
      </c>
      <c r="C3962" s="1">
        <v>0</v>
      </c>
      <c r="D3962" s="1">
        <f>0.033515*(1000000)</f>
        <v>33515</v>
      </c>
    </row>
    <row r="3963" spans="1:4" x14ac:dyDescent="0.25">
      <c r="A3963" s="2">
        <v>36557</v>
      </c>
      <c r="B3963" s="1" t="s">
        <v>25</v>
      </c>
      <c r="C3963" s="1">
        <v>0</v>
      </c>
      <c r="D3963" s="1">
        <f>0.034076*(1000000)</f>
        <v>34076</v>
      </c>
    </row>
    <row r="3964" spans="1:4" x14ac:dyDescent="0.25">
      <c r="A3964" s="2">
        <v>36586</v>
      </c>
      <c r="B3964" s="1" t="s">
        <v>25</v>
      </c>
      <c r="C3964" s="1">
        <v>0</v>
      </c>
      <c r="D3964" s="1">
        <f>0.034595*(1000000)</f>
        <v>34595</v>
      </c>
    </row>
    <row r="3965" spans="1:4" x14ac:dyDescent="0.25">
      <c r="A3965" s="2">
        <v>36617</v>
      </c>
      <c r="B3965" s="1" t="s">
        <v>25</v>
      </c>
      <c r="C3965" s="1">
        <v>0</v>
      </c>
      <c r="D3965" s="1">
        <f>0.034714*(1000000)</f>
        <v>34714</v>
      </c>
    </row>
    <row r="3966" spans="1:4" x14ac:dyDescent="0.25">
      <c r="A3966" s="2">
        <v>36647</v>
      </c>
      <c r="B3966" s="1" t="s">
        <v>25</v>
      </c>
      <c r="C3966" s="1">
        <v>0</v>
      </c>
      <c r="D3966" s="1">
        <f>0.034687*(1000000)</f>
        <v>34687</v>
      </c>
    </row>
    <row r="3967" spans="1:4" x14ac:dyDescent="0.25">
      <c r="A3967" s="2">
        <v>36678</v>
      </c>
      <c r="B3967" s="1" t="s">
        <v>25</v>
      </c>
      <c r="C3967" s="1">
        <v>0</v>
      </c>
      <c r="D3967" s="1">
        <f>0.034944*(1000000)</f>
        <v>34944</v>
      </c>
    </row>
    <row r="3968" spans="1:4" x14ac:dyDescent="0.25">
      <c r="A3968" s="2">
        <v>36708</v>
      </c>
      <c r="B3968" s="1" t="s">
        <v>25</v>
      </c>
      <c r="C3968" s="1">
        <v>0</v>
      </c>
      <c r="D3968" s="1">
        <f>0.034348*(1000000)</f>
        <v>34348</v>
      </c>
    </row>
    <row r="3969" spans="1:4" x14ac:dyDescent="0.25">
      <c r="A3969" s="2">
        <v>36739</v>
      </c>
      <c r="B3969" s="1" t="s">
        <v>25</v>
      </c>
      <c r="C3969" s="1">
        <v>0</v>
      </c>
      <c r="D3969" s="1">
        <f>0.033866*(1000000)</f>
        <v>33866</v>
      </c>
    </row>
    <row r="3970" spans="1:4" x14ac:dyDescent="0.25">
      <c r="A3970" s="2">
        <v>36770</v>
      </c>
      <c r="B3970" s="1" t="s">
        <v>25</v>
      </c>
      <c r="C3970" s="1">
        <v>0</v>
      </c>
      <c r="D3970" s="1">
        <f>0.034396*(1000000)</f>
        <v>34396</v>
      </c>
    </row>
    <row r="3971" spans="1:4" x14ac:dyDescent="0.25">
      <c r="A3971" s="2">
        <v>36800</v>
      </c>
      <c r="B3971" s="1" t="s">
        <v>25</v>
      </c>
      <c r="C3971" s="1">
        <v>0</v>
      </c>
      <c r="D3971" s="1">
        <f>0.035613*(1000000)</f>
        <v>35613</v>
      </c>
    </row>
    <row r="3972" spans="1:4" x14ac:dyDescent="0.25">
      <c r="A3972" s="2">
        <v>36831</v>
      </c>
      <c r="B3972" s="1" t="s">
        <v>25</v>
      </c>
      <c r="C3972" s="1">
        <v>0</v>
      </c>
      <c r="D3972" s="1">
        <f>0.035404*(1000000)</f>
        <v>35404</v>
      </c>
    </row>
    <row r="3973" spans="1:4" x14ac:dyDescent="0.25">
      <c r="A3973" s="2">
        <v>36861</v>
      </c>
      <c r="B3973" s="1" t="s">
        <v>25</v>
      </c>
      <c r="C3973" s="1">
        <v>0</v>
      </c>
      <c r="D3973" s="1">
        <f>0.035126*(1000000)</f>
        <v>35126</v>
      </c>
    </row>
    <row r="3974" spans="1:4" x14ac:dyDescent="0.25">
      <c r="A3974" s="2">
        <v>36892</v>
      </c>
      <c r="B3974" s="1" t="s">
        <v>25</v>
      </c>
      <c r="C3974" s="1">
        <v>0</v>
      </c>
      <c r="D3974" s="1">
        <f>0.035303*(1000000)</f>
        <v>35303</v>
      </c>
    </row>
    <row r="3975" spans="1:4" x14ac:dyDescent="0.25">
      <c r="A3975" s="2">
        <v>36923</v>
      </c>
      <c r="B3975" s="1" t="s">
        <v>25</v>
      </c>
      <c r="C3975" s="1">
        <v>0</v>
      </c>
      <c r="D3975" s="1">
        <f>0.036168*(1000000)</f>
        <v>36168</v>
      </c>
    </row>
    <row r="3976" spans="1:4" x14ac:dyDescent="0.25">
      <c r="A3976" s="2">
        <v>36951</v>
      </c>
      <c r="B3976" s="1" t="s">
        <v>25</v>
      </c>
      <c r="C3976" s="1">
        <v>0</v>
      </c>
      <c r="D3976" s="1">
        <f>0.034849*(1000000)</f>
        <v>34849</v>
      </c>
    </row>
    <row r="3977" spans="1:4" x14ac:dyDescent="0.25">
      <c r="A3977" s="2">
        <v>36982</v>
      </c>
      <c r="B3977" s="1" t="s">
        <v>25</v>
      </c>
      <c r="C3977" s="1">
        <v>0</v>
      </c>
      <c r="D3977" s="1">
        <f>0.036061*(1000000)</f>
        <v>36061</v>
      </c>
    </row>
    <row r="3978" spans="1:4" x14ac:dyDescent="0.25">
      <c r="A3978" s="2">
        <v>37012</v>
      </c>
      <c r="B3978" s="1" t="s">
        <v>25</v>
      </c>
      <c r="C3978" s="1">
        <v>0</v>
      </c>
      <c r="D3978" s="1">
        <f>0.035693*(1000000)</f>
        <v>35693</v>
      </c>
    </row>
    <row r="3979" spans="1:4" x14ac:dyDescent="0.25">
      <c r="A3979" s="2">
        <v>37043</v>
      </c>
      <c r="B3979" s="1" t="s">
        <v>25</v>
      </c>
      <c r="C3979" s="1">
        <v>0</v>
      </c>
      <c r="D3979" s="1">
        <f>0.036057*(1000000)</f>
        <v>36057</v>
      </c>
    </row>
    <row r="3980" spans="1:4" x14ac:dyDescent="0.25">
      <c r="A3980" s="2">
        <v>37073</v>
      </c>
      <c r="B3980" s="1" t="s">
        <v>25</v>
      </c>
      <c r="C3980" s="1">
        <v>0</v>
      </c>
      <c r="D3980" s="1">
        <f>0.035821*(1000000)</f>
        <v>35821</v>
      </c>
    </row>
    <row r="3981" spans="1:4" x14ac:dyDescent="0.25">
      <c r="A3981" s="2">
        <v>37104</v>
      </c>
      <c r="B3981" s="1" t="s">
        <v>25</v>
      </c>
      <c r="C3981" s="1">
        <v>0</v>
      </c>
      <c r="D3981" s="1">
        <f>0.036785*(1000000)</f>
        <v>36785</v>
      </c>
    </row>
    <row r="3982" spans="1:4" x14ac:dyDescent="0.25">
      <c r="A3982" s="2">
        <v>37135</v>
      </c>
      <c r="B3982" s="1" t="s">
        <v>25</v>
      </c>
      <c r="C3982" s="1">
        <v>0</v>
      </c>
      <c r="D3982" s="1">
        <f>0.036301*(1000000)</f>
        <v>36301</v>
      </c>
    </row>
    <row r="3983" spans="1:4" x14ac:dyDescent="0.25">
      <c r="A3983" s="2">
        <v>37165</v>
      </c>
      <c r="B3983" s="1" t="s">
        <v>25</v>
      </c>
      <c r="C3983" s="1">
        <v>0</v>
      </c>
      <c r="D3983" s="1">
        <f>0.037018*(1000000)</f>
        <v>37018</v>
      </c>
    </row>
    <row r="3984" spans="1:4" x14ac:dyDescent="0.25">
      <c r="A3984" s="2">
        <v>37196</v>
      </c>
      <c r="B3984" s="1" t="s">
        <v>25</v>
      </c>
      <c r="C3984" s="1">
        <v>0</v>
      </c>
      <c r="D3984" s="1">
        <f>0.036316*(1000000)</f>
        <v>36316</v>
      </c>
    </row>
    <row r="3985" spans="1:4" x14ac:dyDescent="0.25">
      <c r="A3985" s="2">
        <v>37226</v>
      </c>
      <c r="B3985" s="1" t="s">
        <v>25</v>
      </c>
      <c r="C3985" s="1">
        <v>0</v>
      </c>
      <c r="D3985" s="1">
        <f>0.036232*(1000000)</f>
        <v>36232</v>
      </c>
    </row>
    <row r="3986" spans="1:4" x14ac:dyDescent="0.25">
      <c r="A3986" s="2">
        <v>37257</v>
      </c>
      <c r="B3986" s="1" t="s">
        <v>25</v>
      </c>
      <c r="C3986" s="1">
        <v>0</v>
      </c>
      <c r="D3986" s="1">
        <f>0.036103*(1000000)</f>
        <v>36103</v>
      </c>
    </row>
    <row r="3987" spans="1:4" x14ac:dyDescent="0.25">
      <c r="A3987" s="2">
        <v>37288</v>
      </c>
      <c r="B3987" s="1" t="s">
        <v>25</v>
      </c>
      <c r="C3987" s="1">
        <v>0</v>
      </c>
      <c r="D3987" s="1">
        <f>0.035997*(1000000)</f>
        <v>35997</v>
      </c>
    </row>
    <row r="3988" spans="1:4" x14ac:dyDescent="0.25">
      <c r="A3988" s="2">
        <v>37316</v>
      </c>
      <c r="B3988" s="1" t="s">
        <v>25</v>
      </c>
      <c r="C3988" s="1">
        <v>0</v>
      </c>
      <c r="D3988" s="1">
        <f>0.035073*(1000000)</f>
        <v>35073</v>
      </c>
    </row>
    <row r="3989" spans="1:4" x14ac:dyDescent="0.25">
      <c r="A3989" s="2">
        <v>37347</v>
      </c>
      <c r="B3989" s="1" t="s">
        <v>25</v>
      </c>
      <c r="C3989" s="1">
        <v>0</v>
      </c>
      <c r="D3989" s="1">
        <f>0.035115*(1000000)</f>
        <v>35115</v>
      </c>
    </row>
    <row r="3990" spans="1:4" x14ac:dyDescent="0.25">
      <c r="A3990" s="2">
        <v>37377</v>
      </c>
      <c r="B3990" s="1" t="s">
        <v>25</v>
      </c>
      <c r="C3990" s="1">
        <v>0</v>
      </c>
      <c r="D3990" s="1">
        <f>0.035285*(1000000)</f>
        <v>35285</v>
      </c>
    </row>
    <row r="3991" spans="1:4" x14ac:dyDescent="0.25">
      <c r="A3991" s="2">
        <v>37408</v>
      </c>
      <c r="B3991" s="1" t="s">
        <v>25</v>
      </c>
      <c r="C3991" s="1">
        <v>0</v>
      </c>
      <c r="D3991" s="1">
        <f>0.034915*(1000000)</f>
        <v>34915</v>
      </c>
    </row>
    <row r="3992" spans="1:4" x14ac:dyDescent="0.25">
      <c r="A3992" s="2">
        <v>37438</v>
      </c>
      <c r="B3992" s="1" t="s">
        <v>25</v>
      </c>
      <c r="C3992" s="1">
        <v>0</v>
      </c>
      <c r="D3992" s="1">
        <f>0.034663*(1000000)</f>
        <v>34663</v>
      </c>
    </row>
    <row r="3993" spans="1:4" x14ac:dyDescent="0.25">
      <c r="A3993" s="2">
        <v>37469</v>
      </c>
      <c r="B3993" s="1" t="s">
        <v>25</v>
      </c>
      <c r="C3993" s="1">
        <v>0</v>
      </c>
      <c r="D3993" s="1">
        <f>0.034275*(1000000)</f>
        <v>34275</v>
      </c>
    </row>
    <row r="3994" spans="1:4" x14ac:dyDescent="0.25">
      <c r="A3994" s="2">
        <v>37500</v>
      </c>
      <c r="B3994" s="1" t="s">
        <v>25</v>
      </c>
      <c r="C3994" s="1">
        <v>0</v>
      </c>
      <c r="D3994" s="1">
        <f>0.034202*(1000000)</f>
        <v>34202</v>
      </c>
    </row>
    <row r="3995" spans="1:4" x14ac:dyDescent="0.25">
      <c r="A3995" s="2">
        <v>37530</v>
      </c>
      <c r="B3995" s="1" t="s">
        <v>25</v>
      </c>
      <c r="C3995" s="1">
        <v>0</v>
      </c>
      <c r="D3995" s="1">
        <f>0.033733*(1000000)</f>
        <v>33733</v>
      </c>
    </row>
    <row r="3996" spans="1:4" x14ac:dyDescent="0.25">
      <c r="A3996" s="2">
        <v>37561</v>
      </c>
      <c r="B3996" s="1" t="s">
        <v>25</v>
      </c>
      <c r="C3996" s="1">
        <v>0</v>
      </c>
      <c r="D3996" s="1">
        <f>0.03317*(1000000)</f>
        <v>33170</v>
      </c>
    </row>
    <row r="3997" spans="1:4" x14ac:dyDescent="0.25">
      <c r="A3997" s="2">
        <v>37591</v>
      </c>
      <c r="B3997" s="1" t="s">
        <v>25</v>
      </c>
      <c r="C3997" s="1">
        <v>0</v>
      </c>
      <c r="D3997" s="1">
        <f>0.032897*(1000000)</f>
        <v>32897</v>
      </c>
    </row>
    <row r="3998" spans="1:4" x14ac:dyDescent="0.25">
      <c r="A3998" s="2">
        <v>37622</v>
      </c>
      <c r="B3998" s="1" t="s">
        <v>25</v>
      </c>
      <c r="C3998" s="1">
        <v>0</v>
      </c>
      <c r="D3998" s="1">
        <f>0.032943*(1000000)</f>
        <v>32943</v>
      </c>
    </row>
    <row r="3999" spans="1:4" x14ac:dyDescent="0.25">
      <c r="A3999" s="2">
        <v>37653</v>
      </c>
      <c r="B3999" s="1" t="s">
        <v>25</v>
      </c>
      <c r="C3999" s="1">
        <v>0</v>
      </c>
      <c r="D3999" s="1">
        <f>0.032183*(1000000)</f>
        <v>32183.000000000004</v>
      </c>
    </row>
    <row r="4000" spans="1:4" x14ac:dyDescent="0.25">
      <c r="A4000" s="2">
        <v>37681</v>
      </c>
      <c r="B4000" s="1" t="s">
        <v>25</v>
      </c>
      <c r="C4000" s="1">
        <v>0</v>
      </c>
      <c r="D4000" s="1">
        <f>0.031732*(1000000)</f>
        <v>31732.000000000004</v>
      </c>
    </row>
    <row r="4001" spans="1:4" x14ac:dyDescent="0.25">
      <c r="A4001" s="2">
        <v>37712</v>
      </c>
      <c r="B4001" s="1" t="s">
        <v>25</v>
      </c>
      <c r="C4001" s="1">
        <v>0</v>
      </c>
      <c r="D4001" s="1">
        <f>0.031653*(1000000)</f>
        <v>31653</v>
      </c>
    </row>
    <row r="4002" spans="1:4" x14ac:dyDescent="0.25">
      <c r="A4002" s="2">
        <v>37742</v>
      </c>
      <c r="B4002" s="1" t="s">
        <v>25</v>
      </c>
      <c r="C4002" s="1">
        <v>0</v>
      </c>
      <c r="D4002" s="1">
        <f>0.031554*(1000000)</f>
        <v>31554</v>
      </c>
    </row>
    <row r="4003" spans="1:4" x14ac:dyDescent="0.25">
      <c r="A4003" s="2">
        <v>37773</v>
      </c>
      <c r="B4003" s="1" t="s">
        <v>25</v>
      </c>
      <c r="C4003" s="1">
        <v>0</v>
      </c>
      <c r="D4003" s="1">
        <f>0.031929*(1000000)</f>
        <v>31929</v>
      </c>
    </row>
    <row r="4004" spans="1:4" x14ac:dyDescent="0.25">
      <c r="A4004" s="2">
        <v>37803</v>
      </c>
      <c r="B4004" s="1" t="s">
        <v>25</v>
      </c>
      <c r="C4004" s="1">
        <v>0</v>
      </c>
      <c r="D4004" s="1">
        <f>0.032271*(1000000)</f>
        <v>32271</v>
      </c>
    </row>
    <row r="4005" spans="1:4" x14ac:dyDescent="0.25">
      <c r="A4005" s="2">
        <v>37834</v>
      </c>
      <c r="B4005" s="1" t="s">
        <v>25</v>
      </c>
      <c r="C4005" s="1">
        <v>0</v>
      </c>
      <c r="D4005" s="1">
        <f>0.032468*(1000000)</f>
        <v>32467.999999999996</v>
      </c>
    </row>
    <row r="4006" spans="1:4" x14ac:dyDescent="0.25">
      <c r="A4006" s="2">
        <v>37865</v>
      </c>
      <c r="B4006" s="1" t="s">
        <v>25</v>
      </c>
      <c r="C4006" s="1">
        <v>0</v>
      </c>
      <c r="D4006" s="1">
        <f>0.031926*(1000000)</f>
        <v>31926.000000000004</v>
      </c>
    </row>
    <row r="4007" spans="1:4" x14ac:dyDescent="0.25">
      <c r="A4007" s="2">
        <v>37895</v>
      </c>
      <c r="B4007" s="1" t="s">
        <v>25</v>
      </c>
      <c r="C4007" s="1">
        <v>0</v>
      </c>
      <c r="D4007" s="1">
        <f>0.031648*(1000000)</f>
        <v>31648.000000000004</v>
      </c>
    </row>
    <row r="4008" spans="1:4" x14ac:dyDescent="0.25">
      <c r="A4008" s="2">
        <v>37926</v>
      </c>
      <c r="B4008" s="1" t="s">
        <v>25</v>
      </c>
      <c r="C4008" s="1">
        <v>0</v>
      </c>
      <c r="D4008" s="1">
        <f>0.031905*(1000000)</f>
        <v>31905.000000000004</v>
      </c>
    </row>
    <row r="4009" spans="1:4" x14ac:dyDescent="0.25">
      <c r="A4009" s="2">
        <v>37956</v>
      </c>
      <c r="B4009" s="1" t="s">
        <v>25</v>
      </c>
      <c r="C4009" s="1">
        <v>0</v>
      </c>
      <c r="D4009" s="1">
        <f>0.031936*(1000000)</f>
        <v>31936</v>
      </c>
    </row>
    <row r="4010" spans="1:4" x14ac:dyDescent="0.25">
      <c r="A4010" s="2">
        <v>37987</v>
      </c>
      <c r="B4010" s="1" t="s">
        <v>25</v>
      </c>
      <c r="C4010" s="1">
        <v>0</v>
      </c>
      <c r="D4010" s="1">
        <f>0.031523*(1000000)</f>
        <v>31523.000000000004</v>
      </c>
    </row>
    <row r="4011" spans="1:4" x14ac:dyDescent="0.25">
      <c r="A4011" s="2">
        <v>38018</v>
      </c>
      <c r="B4011" s="1" t="s">
        <v>25</v>
      </c>
      <c r="C4011" s="1">
        <v>0</v>
      </c>
      <c r="D4011" s="1">
        <f>0.031369*(1000000)</f>
        <v>31369</v>
      </c>
    </row>
    <row r="4012" spans="1:4" x14ac:dyDescent="0.25">
      <c r="A4012" s="2">
        <v>38047</v>
      </c>
      <c r="B4012" s="1" t="s">
        <v>25</v>
      </c>
      <c r="C4012" s="1">
        <v>0</v>
      </c>
      <c r="D4012" s="1">
        <f>0.031418*(1000000)</f>
        <v>31418</v>
      </c>
    </row>
    <row r="4013" spans="1:4" x14ac:dyDescent="0.25">
      <c r="A4013" s="2">
        <v>38078</v>
      </c>
      <c r="B4013" s="1" t="s">
        <v>25</v>
      </c>
      <c r="C4013" s="1">
        <v>0</v>
      </c>
      <c r="D4013" s="1">
        <f>0.031353*(1000000)</f>
        <v>31353</v>
      </c>
    </row>
    <row r="4014" spans="1:4" x14ac:dyDescent="0.25">
      <c r="A4014" s="2">
        <v>38108</v>
      </c>
      <c r="B4014" s="1" t="s">
        <v>25</v>
      </c>
      <c r="C4014" s="1">
        <v>0</v>
      </c>
      <c r="D4014" s="1">
        <f>0.030674*(1000000)</f>
        <v>30674</v>
      </c>
    </row>
    <row r="4015" spans="1:4" x14ac:dyDescent="0.25">
      <c r="A4015" s="2">
        <v>38139</v>
      </c>
      <c r="B4015" s="1" t="s">
        <v>25</v>
      </c>
      <c r="C4015" s="1">
        <v>0</v>
      </c>
      <c r="D4015" s="1">
        <f>0.029849*(1000000)</f>
        <v>29849</v>
      </c>
    </row>
    <row r="4016" spans="1:4" x14ac:dyDescent="0.25">
      <c r="A4016" s="2">
        <v>38169</v>
      </c>
      <c r="B4016" s="1" t="s">
        <v>25</v>
      </c>
      <c r="C4016" s="1">
        <v>0</v>
      </c>
      <c r="D4016" s="1">
        <f>0.029543*(1000000)</f>
        <v>29543</v>
      </c>
    </row>
    <row r="4017" spans="1:4" x14ac:dyDescent="0.25">
      <c r="A4017" s="2">
        <v>38200</v>
      </c>
      <c r="B4017" s="1" t="s">
        <v>25</v>
      </c>
      <c r="C4017" s="1">
        <v>0</v>
      </c>
      <c r="D4017" s="1">
        <f>0.029914*(1000000)</f>
        <v>29914</v>
      </c>
    </row>
    <row r="4018" spans="1:4" x14ac:dyDescent="0.25">
      <c r="A4018" s="2">
        <v>38231</v>
      </c>
      <c r="B4018" s="1" t="s">
        <v>25</v>
      </c>
      <c r="C4018" s="1">
        <v>0</v>
      </c>
      <c r="D4018" s="1">
        <f>0.030156*(1000000)</f>
        <v>30156</v>
      </c>
    </row>
    <row r="4019" spans="1:4" x14ac:dyDescent="0.25">
      <c r="A4019" s="2">
        <v>38261</v>
      </c>
      <c r="B4019" s="1" t="s">
        <v>25</v>
      </c>
      <c r="C4019" s="1">
        <v>0</v>
      </c>
      <c r="D4019" s="1">
        <f>0.030015*(1000000)</f>
        <v>30015</v>
      </c>
    </row>
    <row r="4020" spans="1:4" x14ac:dyDescent="0.25">
      <c r="A4020" s="2">
        <v>38292</v>
      </c>
      <c r="B4020" s="1" t="s">
        <v>25</v>
      </c>
      <c r="C4020" s="1">
        <v>0</v>
      </c>
      <c r="D4020" s="1">
        <f>0.029782*(1000000)</f>
        <v>29782</v>
      </c>
    </row>
    <row r="4021" spans="1:4" x14ac:dyDescent="0.25">
      <c r="A4021" s="2">
        <v>38322</v>
      </c>
      <c r="B4021" s="1" t="s">
        <v>25</v>
      </c>
      <c r="C4021" s="1">
        <v>0</v>
      </c>
      <c r="D4021" s="1">
        <f>0.029832*(1000000)</f>
        <v>29832</v>
      </c>
    </row>
    <row r="4022" spans="1:4" x14ac:dyDescent="0.25">
      <c r="A4022" s="2">
        <v>38353</v>
      </c>
      <c r="B4022" s="1" t="s">
        <v>25</v>
      </c>
      <c r="C4022" s="1">
        <v>0</v>
      </c>
      <c r="D4022" s="1">
        <f>0.02968*(1000000)</f>
        <v>29680</v>
      </c>
    </row>
    <row r="4023" spans="1:4" x14ac:dyDescent="0.25">
      <c r="A4023" s="2">
        <v>38384</v>
      </c>
      <c r="B4023" s="1" t="s">
        <v>25</v>
      </c>
      <c r="C4023" s="1">
        <v>0</v>
      </c>
      <c r="D4023" s="1">
        <f>0.029035*(1000000)</f>
        <v>29035</v>
      </c>
    </row>
    <row r="4024" spans="1:4" x14ac:dyDescent="0.25">
      <c r="A4024" s="2">
        <v>38412</v>
      </c>
      <c r="B4024" s="1" t="s">
        <v>25</v>
      </c>
      <c r="C4024" s="1">
        <v>0</v>
      </c>
      <c r="D4024" s="1">
        <f>0.029036*(1000000)</f>
        <v>29036</v>
      </c>
    </row>
    <row r="4025" spans="1:4" x14ac:dyDescent="0.25">
      <c r="A4025" s="2">
        <v>38443</v>
      </c>
      <c r="B4025" s="1" t="s">
        <v>25</v>
      </c>
      <c r="C4025" s="1">
        <v>0</v>
      </c>
      <c r="D4025" s="1">
        <f>0.028832*(1000000)</f>
        <v>28832</v>
      </c>
    </row>
    <row r="4026" spans="1:4" x14ac:dyDescent="0.25">
      <c r="A4026" s="2">
        <v>38473</v>
      </c>
      <c r="B4026" s="1" t="s">
        <v>25</v>
      </c>
      <c r="C4026" s="1">
        <v>0</v>
      </c>
      <c r="D4026" s="1">
        <f>0.029367*(1000000)</f>
        <v>29367</v>
      </c>
    </row>
    <row r="4027" spans="1:4" x14ac:dyDescent="0.25">
      <c r="A4027" s="2">
        <v>38504</v>
      </c>
      <c r="B4027" s="1" t="s">
        <v>25</v>
      </c>
      <c r="C4027" s="1">
        <v>0</v>
      </c>
      <c r="D4027" s="1">
        <f>0.029125*(1000000)</f>
        <v>29125</v>
      </c>
    </row>
    <row r="4028" spans="1:4" x14ac:dyDescent="0.25">
      <c r="A4028" s="2">
        <v>38534</v>
      </c>
      <c r="B4028" s="1" t="s">
        <v>25</v>
      </c>
      <c r="C4028" s="1">
        <v>0</v>
      </c>
      <c r="D4028" s="1">
        <f>0.028328*(1000000)</f>
        <v>28328</v>
      </c>
    </row>
    <row r="4029" spans="1:4" x14ac:dyDescent="0.25">
      <c r="A4029" s="2">
        <v>38565</v>
      </c>
      <c r="B4029" s="1" t="s">
        <v>25</v>
      </c>
      <c r="C4029" s="1">
        <v>0</v>
      </c>
      <c r="D4029" s="1">
        <f>0.02818*(1000000)</f>
        <v>28180</v>
      </c>
    </row>
    <row r="4030" spans="1:4" x14ac:dyDescent="0.25">
      <c r="A4030" s="2">
        <v>38596</v>
      </c>
      <c r="B4030" s="1" t="s">
        <v>25</v>
      </c>
      <c r="C4030" s="1">
        <v>0</v>
      </c>
      <c r="D4030" s="1">
        <f>0.027462*(1000000)</f>
        <v>27462</v>
      </c>
    </row>
    <row r="4031" spans="1:4" x14ac:dyDescent="0.25">
      <c r="A4031" s="2">
        <v>38626</v>
      </c>
      <c r="B4031" s="1" t="s">
        <v>25</v>
      </c>
      <c r="C4031" s="1">
        <v>0</v>
      </c>
      <c r="D4031" s="1">
        <f>0.028098*(1000000)</f>
        <v>28098</v>
      </c>
    </row>
    <row r="4032" spans="1:4" x14ac:dyDescent="0.25">
      <c r="A4032" s="2">
        <v>38657</v>
      </c>
      <c r="B4032" s="1" t="s">
        <v>25</v>
      </c>
      <c r="C4032" s="1">
        <v>0</v>
      </c>
      <c r="D4032" s="1">
        <f>0.026802*(1000000)</f>
        <v>26802</v>
      </c>
    </row>
    <row r="4033" spans="1:4" x14ac:dyDescent="0.25">
      <c r="A4033" s="2">
        <v>38687</v>
      </c>
      <c r="B4033" s="1" t="s">
        <v>25</v>
      </c>
      <c r="C4033" s="1">
        <v>0</v>
      </c>
      <c r="D4033" s="1">
        <f>0.027476*(1000000)</f>
        <v>27476</v>
      </c>
    </row>
    <row r="4034" spans="1:4" x14ac:dyDescent="0.25">
      <c r="A4034" s="2">
        <v>38718</v>
      </c>
      <c r="B4034" s="1" t="s">
        <v>25</v>
      </c>
      <c r="C4034" s="1">
        <v>0</v>
      </c>
      <c r="D4034" s="1">
        <f>0.028011*(1000000)</f>
        <v>28011</v>
      </c>
    </row>
    <row r="4035" spans="1:4" x14ac:dyDescent="0.25">
      <c r="A4035" s="2">
        <v>38749</v>
      </c>
      <c r="B4035" s="1" t="s">
        <v>25</v>
      </c>
      <c r="C4035" s="1">
        <v>0</v>
      </c>
      <c r="D4035" s="1">
        <f>0.027315*(1000000)</f>
        <v>27315</v>
      </c>
    </row>
    <row r="4036" spans="1:4" x14ac:dyDescent="0.25">
      <c r="A4036" s="2">
        <v>38777</v>
      </c>
      <c r="B4036" s="1" t="s">
        <v>25</v>
      </c>
      <c r="C4036" s="1">
        <v>0</v>
      </c>
      <c r="D4036" s="1">
        <f>0.027627*(1000000)</f>
        <v>27627</v>
      </c>
    </row>
    <row r="4037" spans="1:4" x14ac:dyDescent="0.25">
      <c r="A4037" s="2">
        <v>38808</v>
      </c>
      <c r="B4037" s="1" t="s">
        <v>25</v>
      </c>
      <c r="C4037" s="1">
        <v>0</v>
      </c>
      <c r="D4037" s="1">
        <f>0.027099*(1000000)</f>
        <v>27099</v>
      </c>
    </row>
    <row r="4038" spans="1:4" x14ac:dyDescent="0.25">
      <c r="A4038" s="2">
        <v>38838</v>
      </c>
      <c r="B4038" s="1" t="s">
        <v>25</v>
      </c>
      <c r="C4038" s="1">
        <v>0</v>
      </c>
      <c r="D4038" s="1">
        <f>0.02762*(1000000)</f>
        <v>27620</v>
      </c>
    </row>
    <row r="4039" spans="1:4" x14ac:dyDescent="0.25">
      <c r="A4039" s="2">
        <v>38869</v>
      </c>
      <c r="B4039" s="1" t="s">
        <v>25</v>
      </c>
      <c r="C4039" s="1">
        <v>0</v>
      </c>
      <c r="D4039" s="1">
        <f>0.027261*(1000000)</f>
        <v>27261</v>
      </c>
    </row>
    <row r="4040" spans="1:4" x14ac:dyDescent="0.25">
      <c r="A4040" s="2">
        <v>38899</v>
      </c>
      <c r="B4040" s="1" t="s">
        <v>25</v>
      </c>
      <c r="C4040" s="1">
        <v>0</v>
      </c>
      <c r="D4040" s="1">
        <f>0.027296*(1000000)</f>
        <v>27296</v>
      </c>
    </row>
    <row r="4041" spans="1:4" x14ac:dyDescent="0.25">
      <c r="A4041" s="2">
        <v>38930</v>
      </c>
      <c r="B4041" s="1" t="s">
        <v>25</v>
      </c>
      <c r="C4041" s="1">
        <v>0</v>
      </c>
      <c r="D4041" s="1">
        <f>0.026694*(1000000)</f>
        <v>26694</v>
      </c>
    </row>
    <row r="4042" spans="1:4" x14ac:dyDescent="0.25">
      <c r="A4042" s="2">
        <v>38961</v>
      </c>
      <c r="B4042" s="1" t="s">
        <v>25</v>
      </c>
      <c r="C4042" s="1">
        <v>0</v>
      </c>
      <c r="D4042" s="1">
        <f>0.028765*(1000000)</f>
        <v>28765</v>
      </c>
    </row>
    <row r="4043" spans="1:4" x14ac:dyDescent="0.25">
      <c r="A4043" s="2">
        <v>38991</v>
      </c>
      <c r="B4043" s="1" t="s">
        <v>25</v>
      </c>
      <c r="C4043" s="1">
        <v>0</v>
      </c>
      <c r="D4043" s="1">
        <f>0.028471*(1000000)</f>
        <v>28471</v>
      </c>
    </row>
    <row r="4044" spans="1:4" x14ac:dyDescent="0.25">
      <c r="A4044" s="2">
        <v>39022</v>
      </c>
      <c r="B4044" s="1" t="s">
        <v>25</v>
      </c>
      <c r="C4044" s="1">
        <v>0</v>
      </c>
      <c r="D4044" s="1">
        <f>0.029886*(1000000)</f>
        <v>29886</v>
      </c>
    </row>
    <row r="4045" spans="1:4" x14ac:dyDescent="0.25">
      <c r="A4045" s="2">
        <v>39052</v>
      </c>
      <c r="B4045" s="1" t="s">
        <v>25</v>
      </c>
      <c r="C4045" s="1">
        <v>0</v>
      </c>
      <c r="D4045" s="1">
        <f>0.029553*(1000000)</f>
        <v>29553</v>
      </c>
    </row>
    <row r="4046" spans="1:4" x14ac:dyDescent="0.25">
      <c r="A4046" s="2">
        <v>39083</v>
      </c>
      <c r="B4046" s="1" t="s">
        <v>25</v>
      </c>
      <c r="C4046" s="1">
        <v>0</v>
      </c>
      <c r="D4046" s="1">
        <f>0.02877*(1000000)</f>
        <v>28770</v>
      </c>
    </row>
    <row r="4047" spans="1:4" x14ac:dyDescent="0.25">
      <c r="A4047" s="2">
        <v>39114</v>
      </c>
      <c r="B4047" s="1" t="s">
        <v>25</v>
      </c>
      <c r="C4047" s="1">
        <v>0</v>
      </c>
      <c r="D4047" s="1">
        <f>0.029099*(1000000)</f>
        <v>29099</v>
      </c>
    </row>
    <row r="4048" spans="1:4" x14ac:dyDescent="0.25">
      <c r="A4048" s="2">
        <v>39142</v>
      </c>
      <c r="B4048" s="1" t="s">
        <v>25</v>
      </c>
      <c r="C4048" s="1">
        <v>0</v>
      </c>
      <c r="D4048" s="1">
        <f>0.027937*(1000000)</f>
        <v>27937</v>
      </c>
    </row>
    <row r="4049" spans="1:4" x14ac:dyDescent="0.25">
      <c r="A4049" s="2">
        <v>39173</v>
      </c>
      <c r="B4049" s="1" t="s">
        <v>25</v>
      </c>
      <c r="C4049" s="1">
        <v>0</v>
      </c>
      <c r="D4049" s="1">
        <f>0.029242*(1000000)</f>
        <v>29242</v>
      </c>
    </row>
    <row r="4050" spans="1:4" x14ac:dyDescent="0.25">
      <c r="A4050" s="2">
        <v>39203</v>
      </c>
      <c r="B4050" s="1" t="s">
        <v>25</v>
      </c>
      <c r="C4050" s="1">
        <v>0</v>
      </c>
      <c r="D4050" s="1">
        <f>0.028419*(1000000)</f>
        <v>28419</v>
      </c>
    </row>
    <row r="4051" spans="1:4" x14ac:dyDescent="0.25">
      <c r="A4051" s="2">
        <v>39234</v>
      </c>
      <c r="B4051" s="1" t="s">
        <v>25</v>
      </c>
      <c r="C4051" s="1">
        <v>0</v>
      </c>
      <c r="D4051" s="1">
        <f>0.027791*(1000000)</f>
        <v>27791</v>
      </c>
    </row>
    <row r="4052" spans="1:4" x14ac:dyDescent="0.25">
      <c r="A4052" s="2">
        <v>39264</v>
      </c>
      <c r="B4052" s="1" t="s">
        <v>25</v>
      </c>
      <c r="C4052" s="1">
        <v>0</v>
      </c>
      <c r="D4052" s="1">
        <f>0.028133*(1000000)</f>
        <v>28133</v>
      </c>
    </row>
    <row r="4053" spans="1:4" x14ac:dyDescent="0.25">
      <c r="A4053" s="2">
        <v>39295</v>
      </c>
      <c r="B4053" s="1" t="s">
        <v>25</v>
      </c>
      <c r="C4053" s="1">
        <v>0</v>
      </c>
      <c r="D4053" s="1">
        <f>0.028871*(1000000)</f>
        <v>28871</v>
      </c>
    </row>
    <row r="4054" spans="1:4" x14ac:dyDescent="0.25">
      <c r="A4054" s="2">
        <v>39326</v>
      </c>
      <c r="B4054" s="1" t="s">
        <v>25</v>
      </c>
      <c r="C4054" s="1">
        <v>0</v>
      </c>
      <c r="D4054" s="1">
        <f>0.028788*(1000000)</f>
        <v>28788</v>
      </c>
    </row>
    <row r="4055" spans="1:4" x14ac:dyDescent="0.25">
      <c r="A4055" s="2">
        <v>39356</v>
      </c>
      <c r="B4055" s="1" t="s">
        <v>25</v>
      </c>
      <c r="C4055" s="1">
        <v>0</v>
      </c>
      <c r="D4055" s="1">
        <f>0.02979*(1000000)</f>
        <v>29790</v>
      </c>
    </row>
    <row r="4056" spans="1:4" x14ac:dyDescent="0.25">
      <c r="A4056" s="2">
        <v>39387</v>
      </c>
      <c r="B4056" s="1" t="s">
        <v>25</v>
      </c>
      <c r="C4056" s="1">
        <v>0</v>
      </c>
      <c r="D4056" s="1">
        <f>0.030016*(1000000)</f>
        <v>30016</v>
      </c>
    </row>
    <row r="4057" spans="1:4" x14ac:dyDescent="0.25">
      <c r="A4057" s="2">
        <v>39417</v>
      </c>
      <c r="B4057" s="1" t="s">
        <v>25</v>
      </c>
      <c r="C4057" s="1">
        <v>0</v>
      </c>
      <c r="D4057" s="1">
        <f>0.030011*(1000000)</f>
        <v>30011</v>
      </c>
    </row>
    <row r="4058" spans="1:4" x14ac:dyDescent="0.25">
      <c r="A4058" s="2">
        <v>39448</v>
      </c>
      <c r="B4058" s="1" t="s">
        <v>25</v>
      </c>
      <c r="C4058" s="1">
        <v>0</v>
      </c>
      <c r="D4058" s="1">
        <f>0.029457*(1000000)</f>
        <v>29457</v>
      </c>
    </row>
    <row r="4059" spans="1:4" x14ac:dyDescent="0.25">
      <c r="A4059" s="2">
        <v>39479</v>
      </c>
      <c r="B4059" s="1" t="s">
        <v>25</v>
      </c>
      <c r="C4059" s="1">
        <v>0</v>
      </c>
      <c r="D4059" s="1">
        <f>0.030302*(1000000)</f>
        <v>30302</v>
      </c>
    </row>
    <row r="4060" spans="1:4" x14ac:dyDescent="0.25">
      <c r="A4060" s="2">
        <v>39508</v>
      </c>
      <c r="B4060" s="1" t="s">
        <v>25</v>
      </c>
      <c r="C4060" s="1">
        <v>0</v>
      </c>
      <c r="D4060" s="1">
        <f>0.031176*(1000000)</f>
        <v>31176</v>
      </c>
    </row>
    <row r="4061" spans="1:4" x14ac:dyDescent="0.25">
      <c r="A4061" s="2">
        <v>39539</v>
      </c>
      <c r="B4061" s="1" t="s">
        <v>25</v>
      </c>
      <c r="C4061" s="1">
        <v>0</v>
      </c>
      <c r="D4061" s="1">
        <f>0.02936*(1000000)</f>
        <v>29360</v>
      </c>
    </row>
    <row r="4062" spans="1:4" x14ac:dyDescent="0.25">
      <c r="A4062" s="2">
        <v>39569</v>
      </c>
      <c r="B4062" s="1" t="s">
        <v>25</v>
      </c>
      <c r="C4062" s="1">
        <v>0</v>
      </c>
      <c r="D4062" s="1">
        <f>0.029019*(1000000)</f>
        <v>29019</v>
      </c>
    </row>
    <row r="4063" spans="1:4" x14ac:dyDescent="0.25">
      <c r="A4063" s="2">
        <v>39600</v>
      </c>
      <c r="B4063" s="1" t="s">
        <v>25</v>
      </c>
      <c r="C4063" s="1">
        <v>0</v>
      </c>
      <c r="D4063" s="1">
        <f>0.031119*(1000000)</f>
        <v>31119</v>
      </c>
    </row>
    <row r="4064" spans="1:4" x14ac:dyDescent="0.25">
      <c r="A4064" s="2">
        <v>39630</v>
      </c>
      <c r="B4064" s="1" t="s">
        <v>25</v>
      </c>
      <c r="C4064" s="1">
        <v>0</v>
      </c>
      <c r="D4064" s="1">
        <f>0.031822*(1000000)</f>
        <v>31822.000000000004</v>
      </c>
    </row>
    <row r="4065" spans="1:4" x14ac:dyDescent="0.25">
      <c r="A4065" s="2">
        <v>39661</v>
      </c>
      <c r="B4065" s="1" t="s">
        <v>25</v>
      </c>
      <c r="C4065" s="1">
        <v>0</v>
      </c>
      <c r="D4065" s="1">
        <f>0.032663*(1000000)</f>
        <v>32662.999999999996</v>
      </c>
    </row>
    <row r="4066" spans="1:4" x14ac:dyDescent="0.25">
      <c r="A4066" s="2">
        <v>39692</v>
      </c>
      <c r="B4066" s="1" t="s">
        <v>25</v>
      </c>
      <c r="C4066" s="1">
        <v>0</v>
      </c>
      <c r="D4066" s="1">
        <f>0.032027*(1000000)</f>
        <v>32027</v>
      </c>
    </row>
    <row r="4067" spans="1:4" x14ac:dyDescent="0.25">
      <c r="A4067" s="2">
        <v>39722</v>
      </c>
      <c r="B4067" s="1" t="s">
        <v>25</v>
      </c>
      <c r="C4067" s="1">
        <v>0</v>
      </c>
      <c r="D4067" s="1">
        <f>0.034216*(1000000)</f>
        <v>34216</v>
      </c>
    </row>
    <row r="4068" spans="1:4" x14ac:dyDescent="0.25">
      <c r="A4068" s="2">
        <v>39753</v>
      </c>
      <c r="B4068" s="1" t="s">
        <v>25</v>
      </c>
      <c r="C4068" s="1">
        <v>0</v>
      </c>
      <c r="D4068" s="1">
        <f>0.034894*(1000000)</f>
        <v>34894</v>
      </c>
    </row>
    <row r="4069" spans="1:4" x14ac:dyDescent="0.25">
      <c r="A4069" s="2">
        <v>39783</v>
      </c>
      <c r="B4069" s="1" t="s">
        <v>25</v>
      </c>
      <c r="C4069" s="1">
        <v>0</v>
      </c>
      <c r="D4069" s="1">
        <f>0.035613*(1000000)</f>
        <v>35613</v>
      </c>
    </row>
    <row r="4070" spans="1:4" x14ac:dyDescent="0.25">
      <c r="A4070" s="2">
        <v>39814</v>
      </c>
      <c r="B4070" s="1" t="s">
        <v>25</v>
      </c>
      <c r="C4070" s="1">
        <v>0</v>
      </c>
      <c r="D4070" s="1">
        <f>0.03517*(1000000)</f>
        <v>35170</v>
      </c>
    </row>
    <row r="4071" spans="1:4" x14ac:dyDescent="0.25">
      <c r="A4071" s="2">
        <v>39845</v>
      </c>
      <c r="B4071" s="1" t="s">
        <v>25</v>
      </c>
      <c r="C4071" s="1">
        <v>0</v>
      </c>
      <c r="D4071" s="1">
        <f>0.037039*(1000000)</f>
        <v>37039</v>
      </c>
    </row>
    <row r="4072" spans="1:4" x14ac:dyDescent="0.25">
      <c r="A4072" s="2">
        <v>39873</v>
      </c>
      <c r="B4072" s="1" t="s">
        <v>25</v>
      </c>
      <c r="C4072" s="1">
        <v>0</v>
      </c>
      <c r="D4072" s="1">
        <f>0.036973*(1000000)</f>
        <v>36973</v>
      </c>
    </row>
    <row r="4073" spans="1:4" x14ac:dyDescent="0.25">
      <c r="A4073" s="2">
        <v>39904</v>
      </c>
      <c r="B4073" s="1" t="s">
        <v>25</v>
      </c>
      <c r="C4073" s="1">
        <v>0</v>
      </c>
      <c r="D4073" s="1">
        <f>0.035637*(1000000)</f>
        <v>35637</v>
      </c>
    </row>
    <row r="4074" spans="1:4" x14ac:dyDescent="0.25">
      <c r="A4074" s="2">
        <v>39934</v>
      </c>
      <c r="B4074" s="1" t="s">
        <v>25</v>
      </c>
      <c r="C4074" s="1">
        <v>0</v>
      </c>
      <c r="D4074" s="1">
        <f>0.036176*(1000000)</f>
        <v>36176</v>
      </c>
    </row>
    <row r="4075" spans="1:4" x14ac:dyDescent="0.25">
      <c r="A4075" s="2">
        <v>39965</v>
      </c>
      <c r="B4075" s="1" t="s">
        <v>25</v>
      </c>
      <c r="C4075" s="1">
        <v>0</v>
      </c>
      <c r="D4075" s="1">
        <f>0.035676*(1000000)</f>
        <v>35676</v>
      </c>
    </row>
    <row r="4076" spans="1:4" x14ac:dyDescent="0.25">
      <c r="A4076" s="2">
        <v>39995</v>
      </c>
      <c r="B4076" s="1" t="s">
        <v>25</v>
      </c>
      <c r="C4076" s="1">
        <v>0</v>
      </c>
      <c r="D4076" s="1">
        <f>0.03496*(1000000)</f>
        <v>34960</v>
      </c>
    </row>
    <row r="4077" spans="1:4" x14ac:dyDescent="0.25">
      <c r="A4077" s="2">
        <v>40026</v>
      </c>
      <c r="B4077" s="1" t="s">
        <v>25</v>
      </c>
      <c r="C4077" s="1">
        <v>0</v>
      </c>
      <c r="D4077" s="1">
        <f>0.035499*(1000000)</f>
        <v>35499</v>
      </c>
    </row>
    <row r="4078" spans="1:4" x14ac:dyDescent="0.25">
      <c r="A4078" s="2">
        <v>40057</v>
      </c>
      <c r="B4078" s="1" t="s">
        <v>25</v>
      </c>
      <c r="C4078" s="1">
        <v>0</v>
      </c>
      <c r="D4078" s="1">
        <f>0.036513*(1000000)</f>
        <v>36513</v>
      </c>
    </row>
    <row r="4079" spans="1:4" x14ac:dyDescent="0.25">
      <c r="A4079" s="2">
        <v>40087</v>
      </c>
      <c r="B4079" s="1" t="s">
        <v>25</v>
      </c>
      <c r="C4079" s="1">
        <v>0</v>
      </c>
      <c r="D4079" s="1">
        <f>0.036444*(1000000)</f>
        <v>36444</v>
      </c>
    </row>
    <row r="4080" spans="1:4" x14ac:dyDescent="0.25">
      <c r="A4080" s="2">
        <v>40118</v>
      </c>
      <c r="B4080" s="1" t="s">
        <v>25</v>
      </c>
      <c r="C4080" s="1">
        <v>0</v>
      </c>
      <c r="D4080" s="1">
        <f>0.037549*(1000000)</f>
        <v>37549</v>
      </c>
    </row>
    <row r="4081" spans="1:4" x14ac:dyDescent="0.25">
      <c r="A4081" s="2">
        <v>40148</v>
      </c>
      <c r="B4081" s="1" t="s">
        <v>25</v>
      </c>
      <c r="C4081" s="1">
        <v>0</v>
      </c>
      <c r="D4081" s="1">
        <f>0.037939*(1000000)</f>
        <v>37939</v>
      </c>
    </row>
    <row r="4082" spans="1:4" x14ac:dyDescent="0.25">
      <c r="A4082" s="2">
        <v>40179</v>
      </c>
      <c r="B4082" s="1" t="s">
        <v>25</v>
      </c>
      <c r="C4082" s="1">
        <v>0</v>
      </c>
      <c r="D4082" s="1">
        <f>0.039149*(1000000)</f>
        <v>39149</v>
      </c>
    </row>
    <row r="4083" spans="1:4" x14ac:dyDescent="0.25">
      <c r="A4083" s="2">
        <v>40210</v>
      </c>
      <c r="B4083" s="1" t="s">
        <v>25</v>
      </c>
      <c r="C4083" s="1">
        <v>0</v>
      </c>
      <c r="D4083" s="1">
        <f>0.040687*(1000000)</f>
        <v>40687</v>
      </c>
    </row>
    <row r="4084" spans="1:4" x14ac:dyDescent="0.25">
      <c r="A4084" s="2">
        <v>40238</v>
      </c>
      <c r="B4084" s="1" t="s">
        <v>25</v>
      </c>
      <c r="C4084" s="1">
        <v>0</v>
      </c>
      <c r="D4084" s="1">
        <f>0.041933*(1000000)</f>
        <v>41933</v>
      </c>
    </row>
    <row r="4085" spans="1:4" x14ac:dyDescent="0.25">
      <c r="A4085" s="2">
        <v>40269</v>
      </c>
      <c r="B4085" s="1" t="s">
        <v>25</v>
      </c>
      <c r="C4085" s="1">
        <v>0</v>
      </c>
      <c r="D4085" s="1">
        <f>0.040027*(1000000)</f>
        <v>40027</v>
      </c>
    </row>
    <row r="4086" spans="1:4" x14ac:dyDescent="0.25">
      <c r="A4086" s="2">
        <v>40299</v>
      </c>
      <c r="B4086" s="1" t="s">
        <v>25</v>
      </c>
      <c r="C4086" s="1">
        <v>0</v>
      </c>
      <c r="D4086" s="1">
        <f>0.043017*(1000000)</f>
        <v>43017</v>
      </c>
    </row>
    <row r="4087" spans="1:4" x14ac:dyDescent="0.25">
      <c r="A4087" s="2">
        <v>40330</v>
      </c>
      <c r="B4087" s="1" t="s">
        <v>25</v>
      </c>
      <c r="C4087" s="1">
        <v>0</v>
      </c>
      <c r="D4087" s="1">
        <f>0.042791*(1000000)</f>
        <v>42791</v>
      </c>
    </row>
    <row r="4088" spans="1:4" x14ac:dyDescent="0.25">
      <c r="A4088" s="2">
        <v>40360</v>
      </c>
      <c r="B4088" s="1" t="s">
        <v>25</v>
      </c>
      <c r="C4088" s="1">
        <v>0</v>
      </c>
      <c r="D4088" s="1">
        <f>0.043502*(1000000)</f>
        <v>43502</v>
      </c>
    </row>
    <row r="4089" spans="1:4" x14ac:dyDescent="0.25">
      <c r="A4089" s="2">
        <v>40391</v>
      </c>
      <c r="B4089" s="1" t="s">
        <v>25</v>
      </c>
      <c r="C4089" s="1">
        <v>0</v>
      </c>
      <c r="D4089" s="1">
        <f>0.04372*(1000000)</f>
        <v>43720</v>
      </c>
    </row>
    <row r="4090" spans="1:4" x14ac:dyDescent="0.25">
      <c r="A4090" s="2">
        <v>40422</v>
      </c>
      <c r="B4090" s="1" t="s">
        <v>25</v>
      </c>
      <c r="C4090" s="1">
        <v>0</v>
      </c>
      <c r="D4090" s="1">
        <f>0.04302*(1000000)</f>
        <v>43020</v>
      </c>
    </row>
    <row r="4091" spans="1:4" x14ac:dyDescent="0.25">
      <c r="A4091" s="2">
        <v>40452</v>
      </c>
      <c r="B4091" s="1" t="s">
        <v>25</v>
      </c>
      <c r="C4091" s="1">
        <v>0</v>
      </c>
      <c r="D4091" s="1">
        <f>0.044689*(1000000)</f>
        <v>44689</v>
      </c>
    </row>
    <row r="4092" spans="1:4" x14ac:dyDescent="0.25">
      <c r="A4092" s="2">
        <v>40483</v>
      </c>
      <c r="B4092" s="1" t="s">
        <v>25</v>
      </c>
      <c r="C4092" s="1">
        <v>0</v>
      </c>
      <c r="D4092" s="1">
        <f>0.04534*(1000000)</f>
        <v>45340</v>
      </c>
    </row>
    <row r="4093" spans="1:4" x14ac:dyDescent="0.25">
      <c r="A4093" s="2">
        <v>40513</v>
      </c>
      <c r="B4093" s="1" t="s">
        <v>25</v>
      </c>
      <c r="C4093" s="1">
        <v>0</v>
      </c>
      <c r="D4093" s="1">
        <f>0.044138*(1000000)</f>
        <v>44138</v>
      </c>
    </row>
    <row r="4094" spans="1:4" x14ac:dyDescent="0.25">
      <c r="A4094" s="2">
        <v>40544</v>
      </c>
      <c r="B4094" s="1" t="s">
        <v>25</v>
      </c>
      <c r="C4094" s="1">
        <v>0</v>
      </c>
      <c r="D4094" s="1">
        <f>0.047728*(1000000)</f>
        <v>47728</v>
      </c>
    </row>
    <row r="4095" spans="1:4" x14ac:dyDescent="0.25">
      <c r="A4095" s="2">
        <v>40575</v>
      </c>
      <c r="B4095" s="1" t="s">
        <v>25</v>
      </c>
      <c r="C4095" s="1">
        <v>0</v>
      </c>
      <c r="D4095" s="1">
        <f>0.040898*(1000000)</f>
        <v>40898</v>
      </c>
    </row>
    <row r="4096" spans="1:4" x14ac:dyDescent="0.25">
      <c r="A4096" s="2">
        <v>40603</v>
      </c>
      <c r="B4096" s="1" t="s">
        <v>25</v>
      </c>
      <c r="C4096" s="1">
        <v>0</v>
      </c>
      <c r="D4096" s="1">
        <f>0.04631*(1000000)</f>
        <v>46310</v>
      </c>
    </row>
    <row r="4097" spans="1:4" x14ac:dyDescent="0.25">
      <c r="A4097" s="2">
        <v>40634</v>
      </c>
      <c r="B4097" s="1" t="s">
        <v>25</v>
      </c>
      <c r="C4097" s="1">
        <v>0</v>
      </c>
      <c r="D4097" s="1">
        <f>0.047708*(1000000)</f>
        <v>47708</v>
      </c>
    </row>
    <row r="4098" spans="1:4" x14ac:dyDescent="0.25">
      <c r="A4098" s="2">
        <v>40664</v>
      </c>
      <c r="B4098" s="1" t="s">
        <v>25</v>
      </c>
      <c r="C4098" s="1">
        <v>0</v>
      </c>
      <c r="D4098" s="1">
        <f>0.048489*(1000000)</f>
        <v>48489</v>
      </c>
    </row>
    <row r="4099" spans="1:4" x14ac:dyDescent="0.25">
      <c r="A4099" s="2">
        <v>40695</v>
      </c>
      <c r="B4099" s="1" t="s">
        <v>25</v>
      </c>
      <c r="C4099" s="1">
        <v>0</v>
      </c>
      <c r="D4099" s="1">
        <f>0.048329*(1000000)</f>
        <v>48329</v>
      </c>
    </row>
    <row r="4100" spans="1:4" x14ac:dyDescent="0.25">
      <c r="A4100" s="2">
        <v>40725</v>
      </c>
      <c r="B4100" s="1" t="s">
        <v>25</v>
      </c>
      <c r="C4100" s="1">
        <v>0</v>
      </c>
      <c r="D4100" s="1">
        <f>0.050535*(1000000)</f>
        <v>50535</v>
      </c>
    </row>
    <row r="4101" spans="1:4" x14ac:dyDescent="0.25">
      <c r="A4101" s="2">
        <v>40756</v>
      </c>
      <c r="B4101" s="1" t="s">
        <v>25</v>
      </c>
      <c r="C4101" s="1">
        <v>0</v>
      </c>
      <c r="D4101" s="1">
        <f>0.049146*(1000000)</f>
        <v>49146</v>
      </c>
    </row>
    <row r="4102" spans="1:4" x14ac:dyDescent="0.25">
      <c r="A4102" s="2">
        <v>40787</v>
      </c>
      <c r="B4102" s="1" t="s">
        <v>25</v>
      </c>
      <c r="C4102" s="1">
        <v>0</v>
      </c>
      <c r="D4102" s="1">
        <f>0.050948*(1000000)</f>
        <v>50948</v>
      </c>
    </row>
    <row r="4103" spans="1:4" x14ac:dyDescent="0.25">
      <c r="A4103" s="2">
        <v>40817</v>
      </c>
      <c r="B4103" s="1" t="s">
        <v>25</v>
      </c>
      <c r="C4103" s="1">
        <v>0</v>
      </c>
      <c r="D4103" s="1">
        <f>0.052141*(1000000)</f>
        <v>52141</v>
      </c>
    </row>
    <row r="4104" spans="1:4" x14ac:dyDescent="0.25">
      <c r="A4104" s="2">
        <v>40848</v>
      </c>
      <c r="B4104" s="1" t="s">
        <v>25</v>
      </c>
      <c r="C4104" s="1">
        <v>0</v>
      </c>
      <c r="D4104" s="1">
        <f>0.052529*(1000000)</f>
        <v>52529</v>
      </c>
    </row>
    <row r="4105" spans="1:4" x14ac:dyDescent="0.25">
      <c r="A4105" s="2">
        <v>40878</v>
      </c>
      <c r="B4105" s="1" t="s">
        <v>25</v>
      </c>
      <c r="C4105" s="1">
        <v>0</v>
      </c>
      <c r="D4105" s="1">
        <f>0.050193*(1000000)</f>
        <v>50193</v>
      </c>
    </row>
    <row r="4106" spans="1:4" x14ac:dyDescent="0.25">
      <c r="A4106" s="2">
        <v>40909</v>
      </c>
      <c r="B4106" s="1" t="s">
        <v>25</v>
      </c>
      <c r="C4106" s="1">
        <v>0</v>
      </c>
      <c r="D4106" s="1">
        <f>0.051954*(1000000)</f>
        <v>51954</v>
      </c>
    </row>
    <row r="4107" spans="1:4" x14ac:dyDescent="0.25">
      <c r="A4107" s="2">
        <v>40940</v>
      </c>
      <c r="B4107" s="1" t="s">
        <v>25</v>
      </c>
      <c r="C4107" s="1">
        <v>0</v>
      </c>
      <c r="D4107" s="1">
        <f>0.054069*(1000000)</f>
        <v>54069</v>
      </c>
    </row>
    <row r="4108" spans="1:4" x14ac:dyDescent="0.25">
      <c r="A4108" s="2">
        <v>40969</v>
      </c>
      <c r="B4108" s="1" t="s">
        <v>25</v>
      </c>
      <c r="C4108" s="1">
        <v>0</v>
      </c>
      <c r="D4108" s="1">
        <f>0.054508*(1000000)</f>
        <v>54508</v>
      </c>
    </row>
    <row r="4109" spans="1:4" x14ac:dyDescent="0.25">
      <c r="A4109" s="2">
        <v>41000</v>
      </c>
      <c r="B4109" s="1" t="s">
        <v>25</v>
      </c>
      <c r="C4109" s="1">
        <v>0</v>
      </c>
      <c r="D4109" s="1">
        <f>0.053842*(1000000)</f>
        <v>53842</v>
      </c>
    </row>
    <row r="4110" spans="1:4" x14ac:dyDescent="0.25">
      <c r="A4110" s="2">
        <v>41030</v>
      </c>
      <c r="B4110" s="1" t="s">
        <v>25</v>
      </c>
      <c r="C4110" s="1">
        <v>0</v>
      </c>
      <c r="D4110" s="1">
        <f>0.053588*(1000000)</f>
        <v>53588</v>
      </c>
    </row>
    <row r="4111" spans="1:4" x14ac:dyDescent="0.25">
      <c r="A4111" s="2">
        <v>41061</v>
      </c>
      <c r="B4111" s="1" t="s">
        <v>25</v>
      </c>
      <c r="C4111" s="1">
        <v>0</v>
      </c>
      <c r="D4111" s="1">
        <f>0.0534*(1000000)</f>
        <v>53400</v>
      </c>
    </row>
    <row r="4112" spans="1:4" x14ac:dyDescent="0.25">
      <c r="A4112" s="2">
        <v>41091</v>
      </c>
      <c r="B4112" s="1" t="s">
        <v>25</v>
      </c>
      <c r="C4112" s="1">
        <v>0</v>
      </c>
      <c r="D4112" s="1">
        <f>0.054836*(1000000)</f>
        <v>54836</v>
      </c>
    </row>
    <row r="4113" spans="1:4" x14ac:dyDescent="0.25">
      <c r="A4113" s="2">
        <v>41122</v>
      </c>
      <c r="B4113" s="1" t="s">
        <v>25</v>
      </c>
      <c r="C4113" s="1">
        <v>0</v>
      </c>
      <c r="D4113" s="1">
        <f>0.05586*(1000000)</f>
        <v>55860</v>
      </c>
    </row>
    <row r="4114" spans="1:4" x14ac:dyDescent="0.25">
      <c r="A4114" s="2">
        <v>41153</v>
      </c>
      <c r="B4114" s="1" t="s">
        <v>25</v>
      </c>
      <c r="C4114" s="1">
        <v>0</v>
      </c>
      <c r="D4114" s="1">
        <f>0.057726*(1000000)</f>
        <v>57726</v>
      </c>
    </row>
    <row r="4115" spans="1:4" x14ac:dyDescent="0.25">
      <c r="A4115" s="2">
        <v>41183</v>
      </c>
      <c r="B4115" s="1" t="s">
        <v>25</v>
      </c>
      <c r="C4115" s="1">
        <v>0</v>
      </c>
      <c r="D4115" s="1">
        <f>0.058312*(1000000)</f>
        <v>58312</v>
      </c>
    </row>
    <row r="4116" spans="1:4" x14ac:dyDescent="0.25">
      <c r="A4116" s="2">
        <v>41214</v>
      </c>
      <c r="B4116" s="1" t="s">
        <v>25</v>
      </c>
      <c r="C4116" s="1">
        <v>0</v>
      </c>
      <c r="D4116" s="1">
        <f>0.055322*(1000000)</f>
        <v>55322</v>
      </c>
    </row>
    <row r="4117" spans="1:4" x14ac:dyDescent="0.25">
      <c r="A4117" s="2">
        <v>41244</v>
      </c>
      <c r="B4117" s="1" t="s">
        <v>25</v>
      </c>
      <c r="C4117" s="1">
        <v>0</v>
      </c>
      <c r="D4117" s="1">
        <f>0.05646*(1000000)</f>
        <v>56460</v>
      </c>
    </row>
    <row r="4118" spans="1:4" x14ac:dyDescent="0.25">
      <c r="A4118" s="2">
        <v>41275</v>
      </c>
      <c r="B4118" s="1" t="s">
        <v>25</v>
      </c>
      <c r="C4118" s="1">
        <v>0</v>
      </c>
      <c r="D4118" s="1">
        <f>0.056384*(1000000)</f>
        <v>56384</v>
      </c>
    </row>
    <row r="4119" spans="1:4" x14ac:dyDescent="0.25">
      <c r="A4119" s="2">
        <v>41306</v>
      </c>
      <c r="B4119" s="1" t="s">
        <v>25</v>
      </c>
      <c r="C4119" s="1">
        <v>0</v>
      </c>
      <c r="D4119" s="1">
        <f>0.05775*(1000000)</f>
        <v>57750</v>
      </c>
    </row>
    <row r="4120" spans="1:4" x14ac:dyDescent="0.25">
      <c r="A4120" s="2">
        <v>41334</v>
      </c>
      <c r="B4120" s="1" t="s">
        <v>25</v>
      </c>
      <c r="C4120" s="1">
        <v>0</v>
      </c>
      <c r="D4120" s="1">
        <f>0.05582*(1000000)</f>
        <v>55820</v>
      </c>
    </row>
    <row r="4121" spans="1:4" x14ac:dyDescent="0.25">
      <c r="A4121" s="2">
        <v>41365</v>
      </c>
      <c r="B4121" s="1" t="s">
        <v>25</v>
      </c>
      <c r="C4121" s="1">
        <v>0</v>
      </c>
      <c r="D4121" s="1">
        <f>0.057926*(1000000)</f>
        <v>57926</v>
      </c>
    </row>
    <row r="4122" spans="1:4" x14ac:dyDescent="0.25">
      <c r="A4122" s="2">
        <v>41395</v>
      </c>
      <c r="B4122" s="1" t="s">
        <v>25</v>
      </c>
      <c r="C4122" s="1">
        <v>0</v>
      </c>
      <c r="D4122" s="1">
        <f>0.057772*(1000000)</f>
        <v>57772</v>
      </c>
    </row>
    <row r="4123" spans="1:4" x14ac:dyDescent="0.25">
      <c r="A4123" s="2">
        <v>41426</v>
      </c>
      <c r="B4123" s="1" t="s">
        <v>25</v>
      </c>
      <c r="C4123" s="1">
        <v>0</v>
      </c>
      <c r="D4123" s="1">
        <f>0.056449*(1000000)</f>
        <v>56449</v>
      </c>
    </row>
    <row r="4124" spans="1:4" x14ac:dyDescent="0.25">
      <c r="A4124" s="2">
        <v>41456</v>
      </c>
      <c r="B4124" s="1" t="s">
        <v>25</v>
      </c>
      <c r="C4124" s="1">
        <v>0</v>
      </c>
      <c r="D4124" s="1">
        <f>0.056967*(1000000)</f>
        <v>56967</v>
      </c>
    </row>
    <row r="4125" spans="1:4" x14ac:dyDescent="0.25">
      <c r="A4125" s="2">
        <v>41487</v>
      </c>
      <c r="B4125" s="1" t="s">
        <v>25</v>
      </c>
      <c r="C4125" s="1">
        <v>0</v>
      </c>
      <c r="D4125" s="1">
        <f>0.059819*(1000000)</f>
        <v>59819</v>
      </c>
    </row>
    <row r="4126" spans="1:4" x14ac:dyDescent="0.25">
      <c r="A4126" s="2">
        <v>41518</v>
      </c>
      <c r="B4126" s="1" t="s">
        <v>25</v>
      </c>
      <c r="C4126" s="1">
        <v>0</v>
      </c>
      <c r="D4126" s="1">
        <f>0.060677*(1000000)</f>
        <v>60677</v>
      </c>
    </row>
    <row r="4127" spans="1:4" x14ac:dyDescent="0.25">
      <c r="A4127" s="2">
        <v>41548</v>
      </c>
      <c r="B4127" s="1" t="s">
        <v>25</v>
      </c>
      <c r="C4127" s="1">
        <v>0</v>
      </c>
      <c r="D4127" s="1">
        <f>0.059237*(1000000)</f>
        <v>59237</v>
      </c>
    </row>
    <row r="4128" spans="1:4" x14ac:dyDescent="0.25">
      <c r="A4128" s="2">
        <v>41579</v>
      </c>
      <c r="B4128" s="1" t="s">
        <v>25</v>
      </c>
      <c r="C4128" s="1">
        <v>0</v>
      </c>
      <c r="D4128" s="1">
        <f>0.055582*(1000000)</f>
        <v>55582</v>
      </c>
    </row>
    <row r="4129" spans="1:4" x14ac:dyDescent="0.25">
      <c r="A4129" s="2">
        <v>41609</v>
      </c>
      <c r="B4129" s="1" t="s">
        <v>25</v>
      </c>
      <c r="C4129" s="1">
        <v>0</v>
      </c>
      <c r="D4129" s="1">
        <f>0.055731*(1000000)</f>
        <v>55731</v>
      </c>
    </row>
    <row r="4130" spans="1:4" x14ac:dyDescent="0.25">
      <c r="A4130" s="2">
        <v>41640</v>
      </c>
      <c r="B4130" s="1" t="s">
        <v>25</v>
      </c>
      <c r="C4130" s="1">
        <v>0</v>
      </c>
      <c r="D4130" s="1">
        <f>0.05621*(1000000)</f>
        <v>56210</v>
      </c>
    </row>
    <row r="4131" spans="1:4" x14ac:dyDescent="0.25">
      <c r="A4131" s="2">
        <v>41671</v>
      </c>
      <c r="B4131" s="1" t="s">
        <v>25</v>
      </c>
      <c r="C4131" s="1">
        <v>0</v>
      </c>
      <c r="D4131" s="1">
        <f>0.056903*(1000000)</f>
        <v>56903</v>
      </c>
    </row>
    <row r="4132" spans="1:4" x14ac:dyDescent="0.25">
      <c r="A4132" s="2">
        <v>41699</v>
      </c>
      <c r="B4132" s="1" t="s">
        <v>25</v>
      </c>
      <c r="C4132" s="1">
        <v>0</v>
      </c>
      <c r="D4132" s="1">
        <f>0.056029*(1000000)</f>
        <v>56029</v>
      </c>
    </row>
    <row r="4133" spans="1:4" x14ac:dyDescent="0.25">
      <c r="A4133" s="2">
        <v>41730</v>
      </c>
      <c r="B4133" s="1" t="s">
        <v>25</v>
      </c>
      <c r="C4133" s="1">
        <v>0</v>
      </c>
      <c r="D4133" s="1">
        <f>0.059956*(1000000)</f>
        <v>59956</v>
      </c>
    </row>
    <row r="4134" spans="1:4" x14ac:dyDescent="0.25">
      <c r="A4134" s="2">
        <v>41760</v>
      </c>
      <c r="B4134" s="1" t="s">
        <v>25</v>
      </c>
      <c r="C4134" s="1">
        <v>0</v>
      </c>
      <c r="D4134" s="1">
        <f>0.060153*(1000000)</f>
        <v>60153</v>
      </c>
    </row>
    <row r="4135" spans="1:4" x14ac:dyDescent="0.25">
      <c r="A4135" s="2">
        <v>41791</v>
      </c>
      <c r="B4135" s="1" t="s">
        <v>25</v>
      </c>
      <c r="C4135" s="1">
        <v>0</v>
      </c>
      <c r="D4135" s="1">
        <f>0.059948*(1000000)</f>
        <v>59948</v>
      </c>
    </row>
    <row r="4136" spans="1:4" x14ac:dyDescent="0.25">
      <c r="A4136" s="2">
        <v>41821</v>
      </c>
      <c r="B4136" s="1" t="s">
        <v>25</v>
      </c>
      <c r="C4136" s="1">
        <v>0</v>
      </c>
      <c r="D4136" s="1">
        <f>0.061022*(1000000)</f>
        <v>61022</v>
      </c>
    </row>
    <row r="4137" spans="1:4" x14ac:dyDescent="0.25">
      <c r="A4137" s="2">
        <v>41852</v>
      </c>
      <c r="B4137" s="1" t="s">
        <v>25</v>
      </c>
      <c r="C4137" s="1">
        <v>0</v>
      </c>
      <c r="D4137" s="1">
        <f>0.059427*(1000000)</f>
        <v>59427</v>
      </c>
    </row>
    <row r="4138" spans="1:4" x14ac:dyDescent="0.25">
      <c r="A4138" s="2">
        <v>41883</v>
      </c>
      <c r="B4138" s="1" t="s">
        <v>25</v>
      </c>
      <c r="C4138" s="1">
        <v>0</v>
      </c>
      <c r="D4138" s="1">
        <f>0.059924*(1000000)</f>
        <v>59924</v>
      </c>
    </row>
    <row r="4139" spans="1:4" x14ac:dyDescent="0.25">
      <c r="A4139" s="2">
        <v>41913</v>
      </c>
      <c r="B4139" s="1" t="s">
        <v>25</v>
      </c>
      <c r="C4139" s="1">
        <v>0</v>
      </c>
      <c r="D4139" s="1">
        <f>0.060409*(1000000)</f>
        <v>60409</v>
      </c>
    </row>
    <row r="4140" spans="1:4" x14ac:dyDescent="0.25">
      <c r="A4140" s="2">
        <v>41944</v>
      </c>
      <c r="B4140" s="1" t="s">
        <v>25</v>
      </c>
      <c r="C4140" s="1">
        <v>0</v>
      </c>
      <c r="D4140" s="1">
        <f>0.060897*(1000000)</f>
        <v>60897</v>
      </c>
    </row>
    <row r="4141" spans="1:4" x14ac:dyDescent="0.25">
      <c r="A4141" s="2">
        <v>41974</v>
      </c>
      <c r="B4141" s="1" t="s">
        <v>25</v>
      </c>
      <c r="C4141" s="1">
        <v>0</v>
      </c>
      <c r="D4141" s="1">
        <f>0.061376*(1000000)</f>
        <v>61376</v>
      </c>
    </row>
    <row r="4142" spans="1:4" x14ac:dyDescent="0.25">
      <c r="A4142" s="2">
        <v>36526</v>
      </c>
      <c r="B4142" s="1" t="s">
        <v>26</v>
      </c>
      <c r="C4142" s="1">
        <v>0</v>
      </c>
      <c r="D4142" s="1">
        <f>0.015159*(1000000)</f>
        <v>15159</v>
      </c>
    </row>
    <row r="4143" spans="1:4" x14ac:dyDescent="0.25">
      <c r="A4143" s="2">
        <v>36557</v>
      </c>
      <c r="B4143" s="1" t="s">
        <v>26</v>
      </c>
      <c r="C4143" s="1">
        <v>0</v>
      </c>
      <c r="D4143" s="1">
        <f>0.015018*(1000000)</f>
        <v>15018</v>
      </c>
    </row>
    <row r="4144" spans="1:4" x14ac:dyDescent="0.25">
      <c r="A4144" s="2">
        <v>36586</v>
      </c>
      <c r="B4144" s="1" t="s">
        <v>26</v>
      </c>
      <c r="C4144" s="1">
        <v>0</v>
      </c>
      <c r="D4144" s="1">
        <f>0.015192*(1000000)</f>
        <v>15192</v>
      </c>
    </row>
    <row r="4145" spans="1:4" x14ac:dyDescent="0.25">
      <c r="A4145" s="2">
        <v>36617</v>
      </c>
      <c r="B4145" s="1" t="s">
        <v>26</v>
      </c>
      <c r="C4145" s="1">
        <v>0</v>
      </c>
      <c r="D4145" s="1">
        <f>0.015273*(1000000)</f>
        <v>15273</v>
      </c>
    </row>
    <row r="4146" spans="1:4" x14ac:dyDescent="0.25">
      <c r="A4146" s="2">
        <v>36647</v>
      </c>
      <c r="B4146" s="1" t="s">
        <v>26</v>
      </c>
      <c r="C4146" s="1">
        <v>0</v>
      </c>
      <c r="D4146" s="1">
        <f>0.014856*(1000000)</f>
        <v>14856</v>
      </c>
    </row>
    <row r="4147" spans="1:4" x14ac:dyDescent="0.25">
      <c r="A4147" s="2">
        <v>36678</v>
      </c>
      <c r="B4147" s="1" t="s">
        <v>26</v>
      </c>
      <c r="C4147" s="1">
        <v>0</v>
      </c>
      <c r="D4147" s="1">
        <f>0.014496*(1000000)</f>
        <v>14496</v>
      </c>
    </row>
    <row r="4148" spans="1:4" x14ac:dyDescent="0.25">
      <c r="A4148" s="2">
        <v>36708</v>
      </c>
      <c r="B4148" s="1" t="s">
        <v>26</v>
      </c>
      <c r="C4148" s="1">
        <v>0</v>
      </c>
      <c r="D4148" s="1">
        <f>0.014108*(1000000)</f>
        <v>14108</v>
      </c>
    </row>
    <row r="4149" spans="1:4" x14ac:dyDescent="0.25">
      <c r="A4149" s="2">
        <v>36739</v>
      </c>
      <c r="B4149" s="1" t="s">
        <v>26</v>
      </c>
      <c r="C4149" s="1">
        <v>0</v>
      </c>
      <c r="D4149" s="1">
        <f>0.014389*(1000000)</f>
        <v>14389</v>
      </c>
    </row>
    <row r="4150" spans="1:4" x14ac:dyDescent="0.25">
      <c r="A4150" s="2">
        <v>36770</v>
      </c>
      <c r="B4150" s="1" t="s">
        <v>26</v>
      </c>
      <c r="C4150" s="1">
        <v>0</v>
      </c>
      <c r="D4150" s="1">
        <f>0.014199*(1000000)</f>
        <v>14199</v>
      </c>
    </row>
    <row r="4151" spans="1:4" x14ac:dyDescent="0.25">
      <c r="A4151" s="2">
        <v>36800</v>
      </c>
      <c r="B4151" s="1" t="s">
        <v>26</v>
      </c>
      <c r="C4151" s="1">
        <v>0</v>
      </c>
      <c r="D4151" s="1">
        <f>0.015817*(1000000)</f>
        <v>15817.000000000002</v>
      </c>
    </row>
    <row r="4152" spans="1:4" x14ac:dyDescent="0.25">
      <c r="A4152" s="2">
        <v>36831</v>
      </c>
      <c r="B4152" s="1" t="s">
        <v>26</v>
      </c>
      <c r="C4152" s="1">
        <v>0</v>
      </c>
      <c r="D4152" s="1">
        <f>0.015567*(1000000)</f>
        <v>15567</v>
      </c>
    </row>
    <row r="4153" spans="1:4" x14ac:dyDescent="0.25">
      <c r="A4153" s="2">
        <v>36861</v>
      </c>
      <c r="B4153" s="1" t="s">
        <v>26</v>
      </c>
      <c r="C4153" s="1">
        <v>0</v>
      </c>
      <c r="D4153" s="1">
        <f>0.015325*(1000000)</f>
        <v>15325</v>
      </c>
    </row>
    <row r="4154" spans="1:4" x14ac:dyDescent="0.25">
      <c r="A4154" s="2">
        <v>36892</v>
      </c>
      <c r="B4154" s="1" t="s">
        <v>26</v>
      </c>
      <c r="C4154" s="1">
        <v>0</v>
      </c>
      <c r="D4154" s="1">
        <f>0.01648*(1000000)</f>
        <v>16480</v>
      </c>
    </row>
    <row r="4155" spans="1:4" x14ac:dyDescent="0.25">
      <c r="A4155" s="2">
        <v>36923</v>
      </c>
      <c r="B4155" s="1" t="s">
        <v>26</v>
      </c>
      <c r="C4155" s="1">
        <v>0</v>
      </c>
      <c r="D4155" s="1">
        <f>0.015632*(1000000)</f>
        <v>15632</v>
      </c>
    </row>
    <row r="4156" spans="1:4" x14ac:dyDescent="0.25">
      <c r="A4156" s="2">
        <v>36951</v>
      </c>
      <c r="B4156" s="1" t="s">
        <v>26</v>
      </c>
      <c r="C4156" s="1">
        <v>0</v>
      </c>
      <c r="D4156" s="1">
        <f>0.016436*(1000000)</f>
        <v>16436</v>
      </c>
    </row>
    <row r="4157" spans="1:4" x14ac:dyDescent="0.25">
      <c r="A4157" s="2">
        <v>36982</v>
      </c>
      <c r="B4157" s="1" t="s">
        <v>26</v>
      </c>
      <c r="C4157" s="1">
        <v>0</v>
      </c>
      <c r="D4157" s="1">
        <f>0.016371*(1000000)</f>
        <v>16371</v>
      </c>
    </row>
    <row r="4158" spans="1:4" x14ac:dyDescent="0.25">
      <c r="A4158" s="2">
        <v>37012</v>
      </c>
      <c r="B4158" s="1" t="s">
        <v>26</v>
      </c>
      <c r="C4158" s="1">
        <v>0</v>
      </c>
      <c r="D4158" s="1">
        <f>0.016463*(1000000)</f>
        <v>16463</v>
      </c>
    </row>
    <row r="4159" spans="1:4" x14ac:dyDescent="0.25">
      <c r="A4159" s="2">
        <v>37043</v>
      </c>
      <c r="B4159" s="1" t="s">
        <v>26</v>
      </c>
      <c r="C4159" s="1">
        <v>0</v>
      </c>
      <c r="D4159" s="1">
        <f>0.01583*(1000000)</f>
        <v>15830</v>
      </c>
    </row>
    <row r="4160" spans="1:4" x14ac:dyDescent="0.25">
      <c r="A4160" s="2">
        <v>37073</v>
      </c>
      <c r="B4160" s="1" t="s">
        <v>26</v>
      </c>
      <c r="C4160" s="1">
        <v>0</v>
      </c>
      <c r="D4160" s="1">
        <f>0.016491*(1000000)</f>
        <v>16491</v>
      </c>
    </row>
    <row r="4161" spans="1:4" x14ac:dyDescent="0.25">
      <c r="A4161" s="2">
        <v>37104</v>
      </c>
      <c r="B4161" s="1" t="s">
        <v>26</v>
      </c>
      <c r="C4161" s="1">
        <v>0</v>
      </c>
      <c r="D4161" s="1">
        <f>0.016611*(1000000)</f>
        <v>16611</v>
      </c>
    </row>
    <row r="4162" spans="1:4" x14ac:dyDescent="0.25">
      <c r="A4162" s="2">
        <v>37135</v>
      </c>
      <c r="B4162" s="1" t="s">
        <v>26</v>
      </c>
      <c r="C4162" s="1">
        <v>0</v>
      </c>
      <c r="D4162" s="1">
        <f>0.017169*(1000000)</f>
        <v>17169</v>
      </c>
    </row>
    <row r="4163" spans="1:4" x14ac:dyDescent="0.25">
      <c r="A4163" s="2">
        <v>37165</v>
      </c>
      <c r="B4163" s="1" t="s">
        <v>26</v>
      </c>
      <c r="C4163" s="1">
        <v>0</v>
      </c>
      <c r="D4163" s="1">
        <f>0.01836*(1000000)</f>
        <v>18360</v>
      </c>
    </row>
    <row r="4164" spans="1:4" x14ac:dyDescent="0.25">
      <c r="A4164" s="2">
        <v>37196</v>
      </c>
      <c r="B4164" s="1" t="s">
        <v>26</v>
      </c>
      <c r="C4164" s="1">
        <v>0</v>
      </c>
      <c r="D4164" s="1">
        <f>0.019054*(1000000)</f>
        <v>19054</v>
      </c>
    </row>
    <row r="4165" spans="1:4" x14ac:dyDescent="0.25">
      <c r="A4165" s="2">
        <v>37226</v>
      </c>
      <c r="B4165" s="1" t="s">
        <v>26</v>
      </c>
      <c r="C4165" s="1">
        <v>0</v>
      </c>
      <c r="D4165" s="1">
        <f>0.019146*(1000000)</f>
        <v>19146</v>
      </c>
    </row>
    <row r="4166" spans="1:4" x14ac:dyDescent="0.25">
      <c r="A4166" s="2">
        <v>37257</v>
      </c>
      <c r="B4166" s="1" t="s">
        <v>26</v>
      </c>
      <c r="C4166" s="1">
        <v>0</v>
      </c>
      <c r="D4166" s="1">
        <f>0.019064*(1000000)</f>
        <v>19064</v>
      </c>
    </row>
    <row r="4167" spans="1:4" x14ac:dyDescent="0.25">
      <c r="A4167" s="2">
        <v>37288</v>
      </c>
      <c r="B4167" s="1" t="s">
        <v>26</v>
      </c>
      <c r="C4167" s="1">
        <v>0</v>
      </c>
      <c r="D4167" s="1">
        <f>0.019175*(1000000)</f>
        <v>19175</v>
      </c>
    </row>
    <row r="4168" spans="1:4" x14ac:dyDescent="0.25">
      <c r="A4168" s="2">
        <v>37316</v>
      </c>
      <c r="B4168" s="1" t="s">
        <v>26</v>
      </c>
      <c r="C4168" s="1">
        <v>0</v>
      </c>
      <c r="D4168" s="1">
        <f>0.019193*(1000000)</f>
        <v>19193</v>
      </c>
    </row>
    <row r="4169" spans="1:4" x14ac:dyDescent="0.25">
      <c r="A4169" s="2">
        <v>37347</v>
      </c>
      <c r="B4169" s="1" t="s">
        <v>26</v>
      </c>
      <c r="C4169" s="1">
        <v>0</v>
      </c>
      <c r="D4169" s="1">
        <f>0.019522*(1000000)</f>
        <v>19522</v>
      </c>
    </row>
    <row r="4170" spans="1:4" x14ac:dyDescent="0.25">
      <c r="A4170" s="2">
        <v>37377</v>
      </c>
      <c r="B4170" s="1" t="s">
        <v>26</v>
      </c>
      <c r="C4170" s="1">
        <v>0</v>
      </c>
      <c r="D4170" s="1">
        <f>0.019677*(1000000)</f>
        <v>19677</v>
      </c>
    </row>
    <row r="4171" spans="1:4" x14ac:dyDescent="0.25">
      <c r="A4171" s="2">
        <v>37408</v>
      </c>
      <c r="B4171" s="1" t="s">
        <v>26</v>
      </c>
      <c r="C4171" s="1">
        <v>0</v>
      </c>
      <c r="D4171" s="1">
        <f>0.018593*(1000000)</f>
        <v>18593</v>
      </c>
    </row>
    <row r="4172" spans="1:4" x14ac:dyDescent="0.25">
      <c r="A4172" s="2">
        <v>37438</v>
      </c>
      <c r="B4172" s="1" t="s">
        <v>26</v>
      </c>
      <c r="C4172" s="1">
        <v>0</v>
      </c>
      <c r="D4172" s="1">
        <f>0.01802*(1000000)</f>
        <v>18020</v>
      </c>
    </row>
    <row r="4173" spans="1:4" x14ac:dyDescent="0.25">
      <c r="A4173" s="2">
        <v>37469</v>
      </c>
      <c r="B4173" s="1" t="s">
        <v>26</v>
      </c>
      <c r="C4173" s="1">
        <v>0</v>
      </c>
      <c r="D4173" s="1">
        <f>0.019324*(1000000)</f>
        <v>19324</v>
      </c>
    </row>
    <row r="4174" spans="1:4" x14ac:dyDescent="0.25">
      <c r="A4174" s="2">
        <v>37500</v>
      </c>
      <c r="B4174" s="1" t="s">
        <v>26</v>
      </c>
      <c r="C4174" s="1">
        <v>0</v>
      </c>
      <c r="D4174" s="1">
        <f>0.02002*(1000000)</f>
        <v>20020</v>
      </c>
    </row>
    <row r="4175" spans="1:4" x14ac:dyDescent="0.25">
      <c r="A4175" s="2">
        <v>37530</v>
      </c>
      <c r="B4175" s="1" t="s">
        <v>26</v>
      </c>
      <c r="C4175" s="1">
        <v>0</v>
      </c>
      <c r="D4175" s="1">
        <f>0.01972*(1000000)</f>
        <v>19720</v>
      </c>
    </row>
    <row r="4176" spans="1:4" x14ac:dyDescent="0.25">
      <c r="A4176" s="2">
        <v>37561</v>
      </c>
      <c r="B4176" s="1" t="s">
        <v>26</v>
      </c>
      <c r="C4176" s="1">
        <v>0</v>
      </c>
      <c r="D4176" s="1">
        <f>0.019998*(1000000)</f>
        <v>19998</v>
      </c>
    </row>
    <row r="4177" spans="1:4" x14ac:dyDescent="0.25">
      <c r="A4177" s="2">
        <v>37591</v>
      </c>
      <c r="B4177" s="1" t="s">
        <v>26</v>
      </c>
      <c r="C4177" s="1">
        <v>0</v>
      </c>
      <c r="D4177" s="1">
        <f>0.020724*(1000000)</f>
        <v>20724</v>
      </c>
    </row>
    <row r="4178" spans="1:4" x14ac:dyDescent="0.25">
      <c r="A4178" s="2">
        <v>37622</v>
      </c>
      <c r="B4178" s="1" t="s">
        <v>26</v>
      </c>
      <c r="C4178" s="1">
        <v>0</v>
      </c>
      <c r="D4178" s="1">
        <f>0.020517*(1000000)</f>
        <v>20517</v>
      </c>
    </row>
    <row r="4179" spans="1:4" x14ac:dyDescent="0.25">
      <c r="A4179" s="2">
        <v>37653</v>
      </c>
      <c r="B4179" s="1" t="s">
        <v>26</v>
      </c>
      <c r="C4179" s="1">
        <v>0</v>
      </c>
      <c r="D4179" s="1">
        <f>0.02083*(1000000)</f>
        <v>20830</v>
      </c>
    </row>
    <row r="4180" spans="1:4" x14ac:dyDescent="0.25">
      <c r="A4180" s="2">
        <v>37681</v>
      </c>
      <c r="B4180" s="1" t="s">
        <v>26</v>
      </c>
      <c r="C4180" s="1">
        <v>0</v>
      </c>
      <c r="D4180" s="1">
        <f>0.021179*(1000000)</f>
        <v>21179</v>
      </c>
    </row>
    <row r="4181" spans="1:4" x14ac:dyDescent="0.25">
      <c r="A4181" s="2">
        <v>37712</v>
      </c>
      <c r="B4181" s="1" t="s">
        <v>26</v>
      </c>
      <c r="C4181" s="1">
        <v>0</v>
      </c>
      <c r="D4181" s="1">
        <f>0.02153*(1000000)</f>
        <v>21530</v>
      </c>
    </row>
    <row r="4182" spans="1:4" x14ac:dyDescent="0.25">
      <c r="A4182" s="2">
        <v>37742</v>
      </c>
      <c r="B4182" s="1" t="s">
        <v>26</v>
      </c>
      <c r="C4182" s="1">
        <v>0</v>
      </c>
      <c r="D4182" s="1">
        <f>0.02163*(1000000)</f>
        <v>21630</v>
      </c>
    </row>
    <row r="4183" spans="1:4" x14ac:dyDescent="0.25">
      <c r="A4183" s="2">
        <v>37773</v>
      </c>
      <c r="B4183" s="1" t="s">
        <v>26</v>
      </c>
      <c r="C4183" s="1">
        <v>0</v>
      </c>
      <c r="D4183" s="1">
        <f>0.021897*(1000000)</f>
        <v>21897</v>
      </c>
    </row>
    <row r="4184" spans="1:4" x14ac:dyDescent="0.25">
      <c r="A4184" s="2">
        <v>37803</v>
      </c>
      <c r="B4184" s="1" t="s">
        <v>26</v>
      </c>
      <c r="C4184" s="1">
        <v>0</v>
      </c>
      <c r="D4184" s="1">
        <f>0.020644*(1000000)</f>
        <v>20644</v>
      </c>
    </row>
    <row r="4185" spans="1:4" x14ac:dyDescent="0.25">
      <c r="A4185" s="2">
        <v>37834</v>
      </c>
      <c r="B4185" s="1" t="s">
        <v>26</v>
      </c>
      <c r="C4185" s="1">
        <v>0</v>
      </c>
      <c r="D4185" s="1">
        <f>0.020848*(1000000)</f>
        <v>20848</v>
      </c>
    </row>
    <row r="4186" spans="1:4" x14ac:dyDescent="0.25">
      <c r="A4186" s="2">
        <v>37865</v>
      </c>
      <c r="B4186" s="1" t="s">
        <v>26</v>
      </c>
      <c r="C4186" s="1">
        <v>0</v>
      </c>
      <c r="D4186" s="1">
        <f>0.02305*(1000000)</f>
        <v>23050</v>
      </c>
    </row>
    <row r="4187" spans="1:4" x14ac:dyDescent="0.25">
      <c r="A4187" s="2">
        <v>37895</v>
      </c>
      <c r="B4187" s="1" t="s">
        <v>26</v>
      </c>
      <c r="C4187" s="1">
        <v>0</v>
      </c>
      <c r="D4187" s="1">
        <f>0.022878*(1000000)</f>
        <v>22878</v>
      </c>
    </row>
    <row r="4188" spans="1:4" x14ac:dyDescent="0.25">
      <c r="A4188" s="2">
        <v>37926</v>
      </c>
      <c r="B4188" s="1" t="s">
        <v>26</v>
      </c>
      <c r="C4188" s="1">
        <v>0</v>
      </c>
      <c r="D4188" s="1">
        <f>0.02295*(1000000)</f>
        <v>22950</v>
      </c>
    </row>
    <row r="4189" spans="1:4" x14ac:dyDescent="0.25">
      <c r="A4189" s="2">
        <v>37956</v>
      </c>
      <c r="B4189" s="1" t="s">
        <v>26</v>
      </c>
      <c r="C4189" s="1">
        <v>0</v>
      </c>
      <c r="D4189" s="1">
        <f>0.024348*(1000000)</f>
        <v>24348</v>
      </c>
    </row>
    <row r="4190" spans="1:4" x14ac:dyDescent="0.25">
      <c r="A4190" s="2">
        <v>37987</v>
      </c>
      <c r="B4190" s="1" t="s">
        <v>26</v>
      </c>
      <c r="C4190" s="1">
        <v>0</v>
      </c>
      <c r="D4190" s="1">
        <f>0.023641*(1000000)</f>
        <v>23641</v>
      </c>
    </row>
    <row r="4191" spans="1:4" x14ac:dyDescent="0.25">
      <c r="A4191" s="2">
        <v>38018</v>
      </c>
      <c r="B4191" s="1" t="s">
        <v>26</v>
      </c>
      <c r="C4191" s="1">
        <v>0</v>
      </c>
      <c r="D4191" s="1">
        <f>0.025116*(1000000)</f>
        <v>25116</v>
      </c>
    </row>
    <row r="4192" spans="1:4" x14ac:dyDescent="0.25">
      <c r="A4192" s="2">
        <v>38047</v>
      </c>
      <c r="B4192" s="1" t="s">
        <v>26</v>
      </c>
      <c r="C4192" s="1">
        <v>0</v>
      </c>
      <c r="D4192" s="1">
        <f>0.02653*(1000000)</f>
        <v>26530</v>
      </c>
    </row>
    <row r="4193" spans="1:4" x14ac:dyDescent="0.25">
      <c r="A4193" s="2">
        <v>38078</v>
      </c>
      <c r="B4193" s="1" t="s">
        <v>26</v>
      </c>
      <c r="C4193" s="1">
        <v>0</v>
      </c>
      <c r="D4193" s="1">
        <f>0.026975*(1000000)</f>
        <v>26975</v>
      </c>
    </row>
    <row r="4194" spans="1:4" x14ac:dyDescent="0.25">
      <c r="A4194" s="2">
        <v>38108</v>
      </c>
      <c r="B4194" s="1" t="s">
        <v>26</v>
      </c>
      <c r="C4194" s="1">
        <v>0</v>
      </c>
      <c r="D4194" s="1">
        <f>0.026048*(1000000)</f>
        <v>26048</v>
      </c>
    </row>
    <row r="4195" spans="1:4" x14ac:dyDescent="0.25">
      <c r="A4195" s="2">
        <v>38139</v>
      </c>
      <c r="B4195" s="1" t="s">
        <v>26</v>
      </c>
      <c r="C4195" s="1">
        <v>0</v>
      </c>
      <c r="D4195" s="1">
        <f>0.027017*(1000000)</f>
        <v>27017</v>
      </c>
    </row>
    <row r="4196" spans="1:4" x14ac:dyDescent="0.25">
      <c r="A4196" s="2">
        <v>38169</v>
      </c>
      <c r="B4196" s="1" t="s">
        <v>26</v>
      </c>
      <c r="C4196" s="1">
        <v>0</v>
      </c>
      <c r="D4196" s="1">
        <f>0.0249*(1000000)</f>
        <v>24900</v>
      </c>
    </row>
    <row r="4197" spans="1:4" x14ac:dyDescent="0.25">
      <c r="A4197" s="2">
        <v>38200</v>
      </c>
      <c r="B4197" s="1" t="s">
        <v>26</v>
      </c>
      <c r="C4197" s="1">
        <v>0</v>
      </c>
      <c r="D4197" s="1">
        <f>0.026039*(1000000)</f>
        <v>26039</v>
      </c>
    </row>
    <row r="4198" spans="1:4" x14ac:dyDescent="0.25">
      <c r="A4198" s="2">
        <v>38231</v>
      </c>
      <c r="B4198" s="1" t="s">
        <v>26</v>
      </c>
      <c r="C4198" s="1">
        <v>0</v>
      </c>
      <c r="D4198" s="1">
        <f>0.025529*(1000000)</f>
        <v>25529</v>
      </c>
    </row>
    <row r="4199" spans="1:4" x14ac:dyDescent="0.25">
      <c r="A4199" s="2">
        <v>38261</v>
      </c>
      <c r="B4199" s="1" t="s">
        <v>26</v>
      </c>
      <c r="C4199" s="1">
        <v>0</v>
      </c>
      <c r="D4199" s="1">
        <f>0.025291*(1000000)</f>
        <v>25291</v>
      </c>
    </row>
    <row r="4200" spans="1:4" x14ac:dyDescent="0.25">
      <c r="A4200" s="2">
        <v>38292</v>
      </c>
      <c r="B4200" s="1" t="s">
        <v>26</v>
      </c>
      <c r="C4200" s="1">
        <v>0</v>
      </c>
      <c r="D4200" s="1">
        <f>0.026028*(1000000)</f>
        <v>26028</v>
      </c>
    </row>
    <row r="4201" spans="1:4" x14ac:dyDescent="0.25">
      <c r="A4201" s="2">
        <v>38322</v>
      </c>
      <c r="B4201" s="1" t="s">
        <v>26</v>
      </c>
      <c r="C4201" s="1">
        <v>0</v>
      </c>
      <c r="D4201" s="1">
        <f>0.026107*(1000000)</f>
        <v>26107</v>
      </c>
    </row>
    <row r="4202" spans="1:4" x14ac:dyDescent="0.25">
      <c r="A4202" s="2">
        <v>38353</v>
      </c>
      <c r="B4202" s="1" t="s">
        <v>26</v>
      </c>
      <c r="C4202" s="1">
        <v>0</v>
      </c>
      <c r="D4202" s="1">
        <f>0.026267*(1000000)</f>
        <v>26267</v>
      </c>
    </row>
    <row r="4203" spans="1:4" x14ac:dyDescent="0.25">
      <c r="A4203" s="2">
        <v>38384</v>
      </c>
      <c r="B4203" s="1" t="s">
        <v>26</v>
      </c>
      <c r="C4203" s="1">
        <v>0</v>
      </c>
      <c r="D4203" s="1">
        <f>0.02757*(1000000)</f>
        <v>27570</v>
      </c>
    </row>
    <row r="4204" spans="1:4" x14ac:dyDescent="0.25">
      <c r="A4204" s="2">
        <v>38412</v>
      </c>
      <c r="B4204" s="1" t="s">
        <v>26</v>
      </c>
      <c r="C4204" s="1">
        <v>0</v>
      </c>
      <c r="D4204" s="1">
        <f>0.027958*(1000000)</f>
        <v>27958</v>
      </c>
    </row>
    <row r="4205" spans="1:4" x14ac:dyDescent="0.25">
      <c r="A4205" s="2">
        <v>38443</v>
      </c>
      <c r="B4205" s="1" t="s">
        <v>26</v>
      </c>
      <c r="C4205" s="1">
        <v>0</v>
      </c>
      <c r="D4205" s="1">
        <f>0.027554*(1000000)</f>
        <v>27554</v>
      </c>
    </row>
    <row r="4206" spans="1:4" x14ac:dyDescent="0.25">
      <c r="A4206" s="2">
        <v>38473</v>
      </c>
      <c r="B4206" s="1" t="s">
        <v>26</v>
      </c>
      <c r="C4206" s="1">
        <v>0</v>
      </c>
      <c r="D4206" s="1">
        <f>0.02917*(1000000)</f>
        <v>29170</v>
      </c>
    </row>
    <row r="4207" spans="1:4" x14ac:dyDescent="0.25">
      <c r="A4207" s="2">
        <v>38504</v>
      </c>
      <c r="B4207" s="1" t="s">
        <v>26</v>
      </c>
      <c r="C4207" s="1">
        <v>0</v>
      </c>
      <c r="D4207" s="1">
        <f>0.028122*(1000000)</f>
        <v>28122</v>
      </c>
    </row>
    <row r="4208" spans="1:4" x14ac:dyDescent="0.25">
      <c r="A4208" s="2">
        <v>38534</v>
      </c>
      <c r="B4208" s="1" t="s">
        <v>26</v>
      </c>
      <c r="C4208" s="1">
        <v>0</v>
      </c>
      <c r="D4208" s="1">
        <f>0.027126*(1000000)</f>
        <v>27126</v>
      </c>
    </row>
    <row r="4209" spans="1:4" x14ac:dyDescent="0.25">
      <c r="A4209" s="2">
        <v>38565</v>
      </c>
      <c r="B4209" s="1" t="s">
        <v>26</v>
      </c>
      <c r="C4209" s="1">
        <v>0</v>
      </c>
      <c r="D4209" s="1">
        <f>0.029331*(1000000)</f>
        <v>29331</v>
      </c>
    </row>
    <row r="4210" spans="1:4" x14ac:dyDescent="0.25">
      <c r="A4210" s="2">
        <v>38596</v>
      </c>
      <c r="B4210" s="1" t="s">
        <v>26</v>
      </c>
      <c r="C4210" s="1">
        <v>0</v>
      </c>
      <c r="D4210" s="1">
        <f>0.028723*(1000000)</f>
        <v>28723</v>
      </c>
    </row>
    <row r="4211" spans="1:4" x14ac:dyDescent="0.25">
      <c r="A4211" s="2">
        <v>38626</v>
      </c>
      <c r="B4211" s="1" t="s">
        <v>26</v>
      </c>
      <c r="C4211" s="1">
        <v>0</v>
      </c>
      <c r="D4211" s="1">
        <f>0.029119*(1000000)</f>
        <v>29119</v>
      </c>
    </row>
    <row r="4212" spans="1:4" x14ac:dyDescent="0.25">
      <c r="A4212" s="2">
        <v>38657</v>
      </c>
      <c r="B4212" s="1" t="s">
        <v>26</v>
      </c>
      <c r="C4212" s="1">
        <v>0</v>
      </c>
      <c r="D4212" s="1">
        <f>0.029658*(1000000)</f>
        <v>29658</v>
      </c>
    </row>
    <row r="4213" spans="1:4" x14ac:dyDescent="0.25">
      <c r="A4213" s="2">
        <v>38687</v>
      </c>
      <c r="B4213" s="1" t="s">
        <v>26</v>
      </c>
      <c r="C4213" s="1">
        <v>0</v>
      </c>
      <c r="D4213" s="1">
        <f>0.028*(1000000)</f>
        <v>28000</v>
      </c>
    </row>
    <row r="4214" spans="1:4" x14ac:dyDescent="0.25">
      <c r="A4214" s="2">
        <v>38718</v>
      </c>
      <c r="B4214" s="1" t="s">
        <v>26</v>
      </c>
      <c r="C4214" s="1">
        <v>0</v>
      </c>
      <c r="D4214" s="1">
        <f>0.030464*(1000000)</f>
        <v>30464</v>
      </c>
    </row>
    <row r="4215" spans="1:4" x14ac:dyDescent="0.25">
      <c r="A4215" s="2">
        <v>38749</v>
      </c>
      <c r="B4215" s="1" t="s">
        <v>26</v>
      </c>
      <c r="C4215" s="1">
        <v>0</v>
      </c>
      <c r="D4215" s="1">
        <f>0.030253*(1000000)</f>
        <v>30253</v>
      </c>
    </row>
    <row r="4216" spans="1:4" x14ac:dyDescent="0.25">
      <c r="A4216" s="2">
        <v>38777</v>
      </c>
      <c r="B4216" s="1" t="s">
        <v>26</v>
      </c>
      <c r="C4216" s="1">
        <v>0</v>
      </c>
      <c r="D4216" s="1">
        <f>0.031845*(1000000)</f>
        <v>31845</v>
      </c>
    </row>
    <row r="4217" spans="1:4" x14ac:dyDescent="0.25">
      <c r="A4217" s="2">
        <v>38808</v>
      </c>
      <c r="B4217" s="1" t="s">
        <v>26</v>
      </c>
      <c r="C4217" s="1">
        <v>0</v>
      </c>
      <c r="D4217" s="1">
        <f>0.031617*(1000000)</f>
        <v>31617</v>
      </c>
    </row>
    <row r="4218" spans="1:4" x14ac:dyDescent="0.25">
      <c r="A4218" s="2">
        <v>38838</v>
      </c>
      <c r="B4218" s="1" t="s">
        <v>26</v>
      </c>
      <c r="C4218" s="1">
        <v>0</v>
      </c>
      <c r="D4218" s="1">
        <f>0.033262*(1000000)</f>
        <v>33262</v>
      </c>
    </row>
    <row r="4219" spans="1:4" x14ac:dyDescent="0.25">
      <c r="A4219" s="2">
        <v>38869</v>
      </c>
      <c r="B4219" s="1" t="s">
        <v>26</v>
      </c>
      <c r="C4219" s="1">
        <v>0</v>
      </c>
      <c r="D4219" s="1">
        <f>0.0319*(1000000)</f>
        <v>31899.999999999996</v>
      </c>
    </row>
    <row r="4220" spans="1:4" x14ac:dyDescent="0.25">
      <c r="A4220" s="2">
        <v>38899</v>
      </c>
      <c r="B4220" s="1" t="s">
        <v>26</v>
      </c>
      <c r="C4220" s="1">
        <v>0</v>
      </c>
      <c r="D4220" s="1">
        <f>0.031932*(1000000)</f>
        <v>31932.000000000004</v>
      </c>
    </row>
    <row r="4221" spans="1:4" x14ac:dyDescent="0.25">
      <c r="A4221" s="2">
        <v>38930</v>
      </c>
      <c r="B4221" s="1" t="s">
        <v>26</v>
      </c>
      <c r="C4221" s="1">
        <v>0</v>
      </c>
      <c r="D4221" s="1">
        <f>0.032273*(1000000)</f>
        <v>32273.000000000004</v>
      </c>
    </row>
    <row r="4222" spans="1:4" x14ac:dyDescent="0.25">
      <c r="A4222" s="2">
        <v>38961</v>
      </c>
      <c r="B4222" s="1" t="s">
        <v>26</v>
      </c>
      <c r="C4222" s="1">
        <v>0</v>
      </c>
      <c r="D4222" s="1">
        <f>0.03194*(1000000)</f>
        <v>31940.000000000004</v>
      </c>
    </row>
    <row r="4223" spans="1:4" x14ac:dyDescent="0.25">
      <c r="A4223" s="2">
        <v>38991</v>
      </c>
      <c r="B4223" s="1" t="s">
        <v>26</v>
      </c>
      <c r="C4223" s="1">
        <v>0</v>
      </c>
      <c r="D4223" s="1">
        <f>0.034512*(1000000)</f>
        <v>34512</v>
      </c>
    </row>
    <row r="4224" spans="1:4" x14ac:dyDescent="0.25">
      <c r="A4224" s="2">
        <v>39022</v>
      </c>
      <c r="B4224" s="1" t="s">
        <v>26</v>
      </c>
      <c r="C4224" s="1">
        <v>0</v>
      </c>
      <c r="D4224" s="1">
        <f>0.0339*(1000000)</f>
        <v>33900</v>
      </c>
    </row>
    <row r="4225" spans="1:4" x14ac:dyDescent="0.25">
      <c r="A4225" s="2">
        <v>39052</v>
      </c>
      <c r="B4225" s="1" t="s">
        <v>26</v>
      </c>
      <c r="C4225" s="1">
        <v>0</v>
      </c>
      <c r="D4225" s="1">
        <f>0.029834*(1000000)</f>
        <v>29834</v>
      </c>
    </row>
    <row r="4226" spans="1:4" x14ac:dyDescent="0.25">
      <c r="A4226" s="2">
        <v>39083</v>
      </c>
      <c r="B4226" s="1" t="s">
        <v>26</v>
      </c>
      <c r="C4226" s="1">
        <v>0</v>
      </c>
      <c r="D4226" s="1">
        <f>0.027752*(1000000)</f>
        <v>27752</v>
      </c>
    </row>
    <row r="4227" spans="1:4" x14ac:dyDescent="0.25">
      <c r="A4227" s="2">
        <v>39114</v>
      </c>
      <c r="B4227" s="1" t="s">
        <v>26</v>
      </c>
      <c r="C4227" s="1">
        <v>0</v>
      </c>
      <c r="D4227" s="1">
        <f>0.030171*(1000000)</f>
        <v>30171</v>
      </c>
    </row>
    <row r="4228" spans="1:4" x14ac:dyDescent="0.25">
      <c r="A4228" s="2">
        <v>39142</v>
      </c>
      <c r="B4228" s="1" t="s">
        <v>26</v>
      </c>
      <c r="C4228" s="1">
        <v>0</v>
      </c>
      <c r="D4228" s="1">
        <f>0.035419*(1000000)</f>
        <v>35419</v>
      </c>
    </row>
    <row r="4229" spans="1:4" x14ac:dyDescent="0.25">
      <c r="A4229" s="2">
        <v>39173</v>
      </c>
      <c r="B4229" s="1" t="s">
        <v>26</v>
      </c>
      <c r="C4229" s="1">
        <v>0</v>
      </c>
      <c r="D4229" s="1">
        <f>0.037488*(1000000)</f>
        <v>37488</v>
      </c>
    </row>
    <row r="4230" spans="1:4" x14ac:dyDescent="0.25">
      <c r="A4230" s="2">
        <v>39203</v>
      </c>
      <c r="B4230" s="1" t="s">
        <v>26</v>
      </c>
      <c r="C4230" s="1">
        <v>0</v>
      </c>
      <c r="D4230" s="1">
        <f>0.037873*(1000000)</f>
        <v>37873</v>
      </c>
    </row>
    <row r="4231" spans="1:4" x14ac:dyDescent="0.25">
      <c r="A4231" s="2">
        <v>39234</v>
      </c>
      <c r="B4231" s="1" t="s">
        <v>26</v>
      </c>
      <c r="C4231" s="1">
        <v>0</v>
      </c>
      <c r="D4231" s="1">
        <f>0.035886*(1000000)</f>
        <v>35886</v>
      </c>
    </row>
    <row r="4232" spans="1:4" x14ac:dyDescent="0.25">
      <c r="A4232" s="2">
        <v>39264</v>
      </c>
      <c r="B4232" s="1" t="s">
        <v>26</v>
      </c>
      <c r="C4232" s="1">
        <v>0</v>
      </c>
      <c r="D4232" s="1">
        <f>0.036476*(1000000)</f>
        <v>36476</v>
      </c>
    </row>
    <row r="4233" spans="1:4" x14ac:dyDescent="0.25">
      <c r="A4233" s="2">
        <v>39295</v>
      </c>
      <c r="B4233" s="1" t="s">
        <v>26</v>
      </c>
      <c r="C4233" s="1">
        <v>0</v>
      </c>
      <c r="D4233" s="1">
        <f>0.038224*(1000000)</f>
        <v>38224</v>
      </c>
    </row>
    <row r="4234" spans="1:4" x14ac:dyDescent="0.25">
      <c r="A4234" s="2">
        <v>39326</v>
      </c>
      <c r="B4234" s="1" t="s">
        <v>26</v>
      </c>
      <c r="C4234" s="1">
        <v>0</v>
      </c>
      <c r="D4234" s="1">
        <f>0.036962*(1000000)</f>
        <v>36962</v>
      </c>
    </row>
    <row r="4235" spans="1:4" x14ac:dyDescent="0.25">
      <c r="A4235" s="2">
        <v>39356</v>
      </c>
      <c r="B4235" s="1" t="s">
        <v>26</v>
      </c>
      <c r="C4235" s="1">
        <v>0</v>
      </c>
      <c r="D4235" s="1">
        <f>0.03895*(1000000)</f>
        <v>38950</v>
      </c>
    </row>
    <row r="4236" spans="1:4" x14ac:dyDescent="0.25">
      <c r="A4236" s="2">
        <v>39387</v>
      </c>
      <c r="B4236" s="1" t="s">
        <v>26</v>
      </c>
      <c r="C4236" s="1">
        <v>0</v>
      </c>
      <c r="D4236" s="1">
        <f>0.039226*(1000000)</f>
        <v>39226</v>
      </c>
    </row>
    <row r="4237" spans="1:4" x14ac:dyDescent="0.25">
      <c r="A4237" s="2">
        <v>39417</v>
      </c>
      <c r="B4237" s="1" t="s">
        <v>26</v>
      </c>
      <c r="C4237" s="1">
        <v>0</v>
      </c>
      <c r="D4237" s="1">
        <f>0.036896*(1000000)</f>
        <v>36896</v>
      </c>
    </row>
    <row r="4238" spans="1:4" x14ac:dyDescent="0.25">
      <c r="A4238" s="2">
        <v>39448</v>
      </c>
      <c r="B4238" s="1" t="s">
        <v>26</v>
      </c>
      <c r="C4238" s="1">
        <v>0</v>
      </c>
      <c r="D4238" s="1">
        <f>0.03648*(1000000)</f>
        <v>36480</v>
      </c>
    </row>
    <row r="4239" spans="1:4" x14ac:dyDescent="0.25">
      <c r="A4239" s="2">
        <v>39479</v>
      </c>
      <c r="B4239" s="1" t="s">
        <v>26</v>
      </c>
      <c r="C4239" s="1">
        <v>0</v>
      </c>
      <c r="D4239" s="1">
        <f>0.040431*(1000000)</f>
        <v>40431</v>
      </c>
    </row>
    <row r="4240" spans="1:4" x14ac:dyDescent="0.25">
      <c r="A4240" s="2">
        <v>39508</v>
      </c>
      <c r="B4240" s="1" t="s">
        <v>26</v>
      </c>
      <c r="C4240" s="1">
        <v>0</v>
      </c>
      <c r="D4240" s="1">
        <f>0.042619*(1000000)</f>
        <v>42619</v>
      </c>
    </row>
    <row r="4241" spans="1:4" x14ac:dyDescent="0.25">
      <c r="A4241" s="2">
        <v>39539</v>
      </c>
      <c r="B4241" s="1" t="s">
        <v>26</v>
      </c>
      <c r="C4241" s="1">
        <v>0</v>
      </c>
      <c r="D4241" s="1">
        <f>0.0439*(1000000)</f>
        <v>43900</v>
      </c>
    </row>
    <row r="4242" spans="1:4" x14ac:dyDescent="0.25">
      <c r="A4242" s="2">
        <v>39569</v>
      </c>
      <c r="B4242" s="1" t="s">
        <v>26</v>
      </c>
      <c r="C4242" s="1">
        <v>0</v>
      </c>
      <c r="D4242" s="1">
        <f>0.043648*(1000000)</f>
        <v>43648</v>
      </c>
    </row>
    <row r="4243" spans="1:4" x14ac:dyDescent="0.25">
      <c r="A4243" s="2">
        <v>39600</v>
      </c>
      <c r="B4243" s="1" t="s">
        <v>26</v>
      </c>
      <c r="C4243" s="1">
        <v>0</v>
      </c>
      <c r="D4243" s="1">
        <f>0.045039*(1000000)</f>
        <v>45039</v>
      </c>
    </row>
    <row r="4244" spans="1:4" x14ac:dyDescent="0.25">
      <c r="A4244" s="2">
        <v>39630</v>
      </c>
      <c r="B4244" s="1" t="s">
        <v>26</v>
      </c>
      <c r="C4244" s="1">
        <v>0</v>
      </c>
      <c r="D4244" s="1">
        <f>0.044085*(1000000)</f>
        <v>44085</v>
      </c>
    </row>
    <row r="4245" spans="1:4" x14ac:dyDescent="0.25">
      <c r="A4245" s="2">
        <v>39661</v>
      </c>
      <c r="B4245" s="1" t="s">
        <v>26</v>
      </c>
      <c r="C4245" s="1">
        <v>0</v>
      </c>
      <c r="D4245" s="1">
        <f>0.045055*(1000000)</f>
        <v>45055</v>
      </c>
    </row>
    <row r="4246" spans="1:4" x14ac:dyDescent="0.25">
      <c r="A4246" s="2">
        <v>39692</v>
      </c>
      <c r="B4246" s="1" t="s">
        <v>26</v>
      </c>
      <c r="C4246" s="1">
        <v>0</v>
      </c>
      <c r="D4246" s="1">
        <f>0.050272*(1000000)</f>
        <v>50272</v>
      </c>
    </row>
    <row r="4247" spans="1:4" x14ac:dyDescent="0.25">
      <c r="A4247" s="2">
        <v>39722</v>
      </c>
      <c r="B4247" s="1" t="s">
        <v>26</v>
      </c>
      <c r="C4247" s="1">
        <v>0</v>
      </c>
      <c r="D4247" s="1">
        <f>0.048365*(1000000)</f>
        <v>48365</v>
      </c>
    </row>
    <row r="4248" spans="1:4" x14ac:dyDescent="0.25">
      <c r="A4248" s="2">
        <v>39753</v>
      </c>
      <c r="B4248" s="1" t="s">
        <v>26</v>
      </c>
      <c r="C4248" s="1">
        <v>0</v>
      </c>
      <c r="D4248" s="1">
        <f>0.049806*(1000000)</f>
        <v>49806</v>
      </c>
    </row>
    <row r="4249" spans="1:4" x14ac:dyDescent="0.25">
      <c r="A4249" s="2">
        <v>39783</v>
      </c>
      <c r="B4249" s="1" t="s">
        <v>26</v>
      </c>
      <c r="C4249" s="1">
        <v>0</v>
      </c>
      <c r="D4249" s="1">
        <f>0.047516*(1000000)</f>
        <v>47516</v>
      </c>
    </row>
    <row r="4250" spans="1:4" x14ac:dyDescent="0.25">
      <c r="A4250" s="2">
        <v>39814</v>
      </c>
      <c r="B4250" s="1" t="s">
        <v>26</v>
      </c>
      <c r="C4250" s="1">
        <v>0</v>
      </c>
      <c r="D4250" s="1">
        <f>0.048252*(1000000)</f>
        <v>48252</v>
      </c>
    </row>
    <row r="4251" spans="1:4" x14ac:dyDescent="0.25">
      <c r="A4251" s="2">
        <v>39845</v>
      </c>
      <c r="B4251" s="1" t="s">
        <v>26</v>
      </c>
      <c r="C4251" s="1">
        <v>0</v>
      </c>
      <c r="D4251" s="1">
        <f>0.049614*(1000000)</f>
        <v>49614</v>
      </c>
    </row>
    <row r="4252" spans="1:4" x14ac:dyDescent="0.25">
      <c r="A4252" s="2">
        <v>39873</v>
      </c>
      <c r="B4252" s="1" t="s">
        <v>26</v>
      </c>
      <c r="C4252" s="1">
        <v>0</v>
      </c>
      <c r="D4252" s="1">
        <f>0.050163*(1000000)</f>
        <v>50163</v>
      </c>
    </row>
    <row r="4253" spans="1:4" x14ac:dyDescent="0.25">
      <c r="A4253" s="2">
        <v>39904</v>
      </c>
      <c r="B4253" s="1" t="s">
        <v>26</v>
      </c>
      <c r="C4253" s="1">
        <v>0</v>
      </c>
      <c r="D4253" s="1">
        <f>0.045539*(1000000)</f>
        <v>45539</v>
      </c>
    </row>
    <row r="4254" spans="1:4" x14ac:dyDescent="0.25">
      <c r="A4254" s="2">
        <v>39934</v>
      </c>
      <c r="B4254" s="1" t="s">
        <v>26</v>
      </c>
      <c r="C4254" s="1">
        <v>0</v>
      </c>
      <c r="D4254" s="1">
        <f>0.046392*(1000000)</f>
        <v>46392</v>
      </c>
    </row>
    <row r="4255" spans="1:4" x14ac:dyDescent="0.25">
      <c r="A4255" s="2">
        <v>39965</v>
      </c>
      <c r="B4255" s="1" t="s">
        <v>26</v>
      </c>
      <c r="C4255" s="1">
        <v>0</v>
      </c>
      <c r="D4255" s="1">
        <f>0.047029*(1000000)</f>
        <v>47029</v>
      </c>
    </row>
    <row r="4256" spans="1:4" x14ac:dyDescent="0.25">
      <c r="A4256" s="2">
        <v>39995</v>
      </c>
      <c r="B4256" s="1" t="s">
        <v>26</v>
      </c>
      <c r="C4256" s="1">
        <v>0</v>
      </c>
      <c r="D4256" s="1">
        <f>0.045547*(1000000)</f>
        <v>45547</v>
      </c>
    </row>
    <row r="4257" spans="1:4" x14ac:dyDescent="0.25">
      <c r="A4257" s="2">
        <v>40026</v>
      </c>
      <c r="B4257" s="1" t="s">
        <v>26</v>
      </c>
      <c r="C4257" s="1">
        <v>0</v>
      </c>
      <c r="D4257" s="1">
        <f>0.047139*(1000000)</f>
        <v>47139</v>
      </c>
    </row>
    <row r="4258" spans="1:4" x14ac:dyDescent="0.25">
      <c r="A4258" s="2">
        <v>40057</v>
      </c>
      <c r="B4258" s="1" t="s">
        <v>26</v>
      </c>
      <c r="C4258" s="1">
        <v>0</v>
      </c>
      <c r="D4258" s="1">
        <f>0.047287*(1000000)</f>
        <v>47287</v>
      </c>
    </row>
    <row r="4259" spans="1:4" x14ac:dyDescent="0.25">
      <c r="A4259" s="2">
        <v>40087</v>
      </c>
      <c r="B4259" s="1" t="s">
        <v>26</v>
      </c>
      <c r="C4259" s="1">
        <v>0</v>
      </c>
      <c r="D4259" s="1">
        <f>0.045619*(1000000)</f>
        <v>45619</v>
      </c>
    </row>
    <row r="4260" spans="1:4" x14ac:dyDescent="0.25">
      <c r="A4260" s="2">
        <v>40118</v>
      </c>
      <c r="B4260" s="1" t="s">
        <v>26</v>
      </c>
      <c r="C4260" s="1">
        <v>0</v>
      </c>
      <c r="D4260" s="1">
        <f>0.048541*(1000000)</f>
        <v>48541</v>
      </c>
    </row>
    <row r="4261" spans="1:4" x14ac:dyDescent="0.25">
      <c r="A4261" s="2">
        <v>40148</v>
      </c>
      <c r="B4261" s="1" t="s">
        <v>26</v>
      </c>
      <c r="C4261" s="1">
        <v>0</v>
      </c>
      <c r="D4261" s="1">
        <f>0.045882*(1000000)</f>
        <v>45882</v>
      </c>
    </row>
    <row r="4262" spans="1:4" x14ac:dyDescent="0.25">
      <c r="A4262" s="2">
        <v>40179</v>
      </c>
      <c r="B4262" s="1" t="s">
        <v>26</v>
      </c>
      <c r="C4262" s="1">
        <v>0</v>
      </c>
      <c r="D4262" s="1">
        <f>0.049572*(1000000)</f>
        <v>49572</v>
      </c>
    </row>
    <row r="4263" spans="1:4" x14ac:dyDescent="0.25">
      <c r="A4263" s="2">
        <v>40210</v>
      </c>
      <c r="B4263" s="1" t="s">
        <v>26</v>
      </c>
      <c r="C4263" s="1">
        <v>0</v>
      </c>
      <c r="D4263" s="1">
        <f>0.050825*(1000000)</f>
        <v>50825</v>
      </c>
    </row>
    <row r="4264" spans="1:4" x14ac:dyDescent="0.25">
      <c r="A4264" s="2">
        <v>40238</v>
      </c>
      <c r="B4264" s="1" t="s">
        <v>26</v>
      </c>
      <c r="C4264" s="1">
        <v>0</v>
      </c>
      <c r="D4264" s="1">
        <f>0.051119*(1000000)</f>
        <v>51119</v>
      </c>
    </row>
    <row r="4265" spans="1:4" x14ac:dyDescent="0.25">
      <c r="A4265" s="2">
        <v>40269</v>
      </c>
      <c r="B4265" s="1" t="s">
        <v>26</v>
      </c>
      <c r="C4265" s="1">
        <v>0</v>
      </c>
      <c r="D4265" s="1">
        <f>0.050484*(1000000)</f>
        <v>50484</v>
      </c>
    </row>
    <row r="4266" spans="1:4" x14ac:dyDescent="0.25">
      <c r="A4266" s="2">
        <v>40299</v>
      </c>
      <c r="B4266" s="1" t="s">
        <v>26</v>
      </c>
      <c r="C4266" s="1">
        <v>0</v>
      </c>
      <c r="D4266" s="1">
        <f>0.051137*(1000000)</f>
        <v>51137</v>
      </c>
    </row>
    <row r="4267" spans="1:4" x14ac:dyDescent="0.25">
      <c r="A4267" s="2">
        <v>40330</v>
      </c>
      <c r="B4267" s="1" t="s">
        <v>26</v>
      </c>
      <c r="C4267" s="1">
        <v>0</v>
      </c>
      <c r="D4267" s="1">
        <f>0.049556*(1000000)</f>
        <v>49556</v>
      </c>
    </row>
    <row r="4268" spans="1:4" x14ac:dyDescent="0.25">
      <c r="A4268" s="2">
        <v>40360</v>
      </c>
      <c r="B4268" s="1" t="s">
        <v>26</v>
      </c>
      <c r="C4268" s="1">
        <v>0</v>
      </c>
      <c r="D4268" s="1">
        <f>0.045256*(1000000)</f>
        <v>45256</v>
      </c>
    </row>
    <row r="4269" spans="1:4" x14ac:dyDescent="0.25">
      <c r="A4269" s="2">
        <v>40391</v>
      </c>
      <c r="B4269" s="1" t="s">
        <v>26</v>
      </c>
      <c r="C4269" s="1">
        <v>0</v>
      </c>
      <c r="D4269" s="1">
        <f>0.053272*(1000000)</f>
        <v>53272</v>
      </c>
    </row>
    <row r="4270" spans="1:4" x14ac:dyDescent="0.25">
      <c r="A4270" s="2">
        <v>40422</v>
      </c>
      <c r="B4270" s="1" t="s">
        <v>26</v>
      </c>
      <c r="C4270" s="1">
        <v>0</v>
      </c>
      <c r="D4270" s="1">
        <f>0.054515*(1000000)</f>
        <v>54515</v>
      </c>
    </row>
    <row r="4271" spans="1:4" x14ac:dyDescent="0.25">
      <c r="A4271" s="2">
        <v>40452</v>
      </c>
      <c r="B4271" s="1" t="s">
        <v>26</v>
      </c>
      <c r="C4271" s="1">
        <v>0</v>
      </c>
      <c r="D4271" s="1">
        <f>0.053698*(1000000)</f>
        <v>53698</v>
      </c>
    </row>
    <row r="4272" spans="1:4" x14ac:dyDescent="0.25">
      <c r="A4272" s="2">
        <v>40483</v>
      </c>
      <c r="B4272" s="1" t="s">
        <v>26</v>
      </c>
      <c r="C4272" s="1">
        <v>0</v>
      </c>
      <c r="D4272" s="1">
        <f>0.055959*(1000000)</f>
        <v>55959</v>
      </c>
    </row>
    <row r="4273" spans="1:4" x14ac:dyDescent="0.25">
      <c r="A4273" s="2">
        <v>40513</v>
      </c>
      <c r="B4273" s="1" t="s">
        <v>26</v>
      </c>
      <c r="C4273" s="1">
        <v>0</v>
      </c>
      <c r="D4273" s="1">
        <f>0.060684*(1000000)</f>
        <v>60684</v>
      </c>
    </row>
    <row r="4274" spans="1:4" x14ac:dyDescent="0.25">
      <c r="A4274" s="2">
        <v>40544</v>
      </c>
      <c r="B4274" s="1" t="s">
        <v>26</v>
      </c>
      <c r="C4274" s="1">
        <v>0</v>
      </c>
      <c r="D4274" s="1">
        <f>0.057192*(1000000)</f>
        <v>57192</v>
      </c>
    </row>
    <row r="4275" spans="1:4" x14ac:dyDescent="0.25">
      <c r="A4275" s="2">
        <v>40575</v>
      </c>
      <c r="B4275" s="1" t="s">
        <v>26</v>
      </c>
      <c r="C4275" s="1">
        <v>0</v>
      </c>
      <c r="D4275" s="1">
        <f>0.057236*(1000000)</f>
        <v>57236</v>
      </c>
    </row>
    <row r="4276" spans="1:4" x14ac:dyDescent="0.25">
      <c r="A4276" s="2">
        <v>40603</v>
      </c>
      <c r="B4276" s="1" t="s">
        <v>26</v>
      </c>
      <c r="C4276" s="1">
        <v>0</v>
      </c>
      <c r="D4276" s="1">
        <f>0.063542*(1000000)</f>
        <v>63542</v>
      </c>
    </row>
    <row r="4277" spans="1:4" x14ac:dyDescent="0.25">
      <c r="A4277" s="2">
        <v>40634</v>
      </c>
      <c r="B4277" s="1" t="s">
        <v>26</v>
      </c>
      <c r="C4277" s="1">
        <v>0</v>
      </c>
      <c r="D4277" s="1">
        <f>0.065045*(1000000)</f>
        <v>65045.000000000007</v>
      </c>
    </row>
    <row r="4278" spans="1:4" x14ac:dyDescent="0.25">
      <c r="A4278" s="2">
        <v>40664</v>
      </c>
      <c r="B4278" s="1" t="s">
        <v>26</v>
      </c>
      <c r="C4278" s="1">
        <v>0</v>
      </c>
      <c r="D4278" s="1">
        <f>0.063889*(1000000)</f>
        <v>63889</v>
      </c>
    </row>
    <row r="4279" spans="1:4" x14ac:dyDescent="0.25">
      <c r="A4279" s="2">
        <v>40695</v>
      </c>
      <c r="B4279" s="1" t="s">
        <v>26</v>
      </c>
      <c r="C4279" s="1">
        <v>0</v>
      </c>
      <c r="D4279" s="1">
        <f>0.065676*(1000000)</f>
        <v>65676</v>
      </c>
    </row>
    <row r="4280" spans="1:4" x14ac:dyDescent="0.25">
      <c r="A4280" s="2">
        <v>40725</v>
      </c>
      <c r="B4280" s="1" t="s">
        <v>26</v>
      </c>
      <c r="C4280" s="1">
        <v>0</v>
      </c>
      <c r="D4280" s="1">
        <f>0.065964*(1000000)</f>
        <v>65964</v>
      </c>
    </row>
    <row r="4281" spans="1:4" x14ac:dyDescent="0.25">
      <c r="A4281" s="2">
        <v>40756</v>
      </c>
      <c r="B4281" s="1" t="s">
        <v>26</v>
      </c>
      <c r="C4281" s="1">
        <v>0</v>
      </c>
      <c r="D4281" s="1">
        <f>0.068304*(1000000)</f>
        <v>68304</v>
      </c>
    </row>
    <row r="4282" spans="1:4" x14ac:dyDescent="0.25">
      <c r="A4282" s="2">
        <v>40787</v>
      </c>
      <c r="B4282" s="1" t="s">
        <v>26</v>
      </c>
      <c r="C4282" s="1">
        <v>0</v>
      </c>
      <c r="D4282" s="1">
        <f>0.06818*(1000000)</f>
        <v>68180</v>
      </c>
    </row>
    <row r="4283" spans="1:4" x14ac:dyDescent="0.25">
      <c r="A4283" s="2">
        <v>40817</v>
      </c>
      <c r="B4283" s="1" t="s">
        <v>26</v>
      </c>
      <c r="C4283" s="1">
        <v>0</v>
      </c>
      <c r="D4283" s="1">
        <f>0.069299*(1000000)</f>
        <v>69299</v>
      </c>
    </row>
    <row r="4284" spans="1:4" x14ac:dyDescent="0.25">
      <c r="A4284" s="2">
        <v>40848</v>
      </c>
      <c r="B4284" s="1" t="s">
        <v>26</v>
      </c>
      <c r="C4284" s="1">
        <v>0</v>
      </c>
      <c r="D4284" s="1">
        <f>0.076933*(1000000)</f>
        <v>76933</v>
      </c>
    </row>
    <row r="4285" spans="1:4" x14ac:dyDescent="0.25">
      <c r="A4285" s="2">
        <v>40878</v>
      </c>
      <c r="B4285" s="1" t="s">
        <v>26</v>
      </c>
      <c r="C4285" s="1">
        <v>0</v>
      </c>
      <c r="D4285" s="1">
        <f>0.074779*(1000000)</f>
        <v>74779</v>
      </c>
    </row>
    <row r="4286" spans="1:4" x14ac:dyDescent="0.25">
      <c r="A4286" s="2">
        <v>40909</v>
      </c>
      <c r="B4286" s="1" t="s">
        <v>26</v>
      </c>
      <c r="C4286" s="1">
        <v>0</v>
      </c>
      <c r="D4286" s="1">
        <f>0.075713*(1000000)</f>
        <v>75713</v>
      </c>
    </row>
    <row r="4287" spans="1:4" x14ac:dyDescent="0.25">
      <c r="A4287" s="2">
        <v>40940</v>
      </c>
      <c r="B4287" s="1" t="s">
        <v>26</v>
      </c>
      <c r="C4287" s="1">
        <v>0</v>
      </c>
      <c r="D4287" s="1">
        <f>0.078279*(1000000)</f>
        <v>78279</v>
      </c>
    </row>
    <row r="4288" spans="1:4" x14ac:dyDescent="0.25">
      <c r="A4288" s="2">
        <v>40969</v>
      </c>
      <c r="B4288" s="1" t="s">
        <v>26</v>
      </c>
      <c r="C4288" s="1">
        <v>0</v>
      </c>
      <c r="D4288" s="1">
        <f>0.080902*(1000000)</f>
        <v>80902</v>
      </c>
    </row>
    <row r="4289" spans="1:4" x14ac:dyDescent="0.25">
      <c r="A4289" s="2">
        <v>41000</v>
      </c>
      <c r="B4289" s="1" t="s">
        <v>26</v>
      </c>
      <c r="C4289" s="1">
        <v>0</v>
      </c>
      <c r="D4289" s="1">
        <f>0.077485*(1000000)</f>
        <v>77485</v>
      </c>
    </row>
    <row r="4290" spans="1:4" x14ac:dyDescent="0.25">
      <c r="A4290" s="2">
        <v>41030</v>
      </c>
      <c r="B4290" s="1" t="s">
        <v>26</v>
      </c>
      <c r="C4290" s="1">
        <v>0</v>
      </c>
      <c r="D4290" s="1">
        <f>0.08887*(1000000)</f>
        <v>88870</v>
      </c>
    </row>
    <row r="4291" spans="1:4" x14ac:dyDescent="0.25">
      <c r="A4291" s="2">
        <v>41061</v>
      </c>
      <c r="B4291" s="1" t="s">
        <v>26</v>
      </c>
      <c r="C4291" s="1">
        <v>0</v>
      </c>
      <c r="D4291" s="1">
        <f>0.082477*(1000000)</f>
        <v>82477</v>
      </c>
    </row>
    <row r="4292" spans="1:4" x14ac:dyDescent="0.25">
      <c r="A4292" s="2">
        <v>41091</v>
      </c>
      <c r="B4292" s="1" t="s">
        <v>26</v>
      </c>
      <c r="C4292" s="1">
        <v>0</v>
      </c>
      <c r="D4292" s="1">
        <f>0.08146*(1000000)</f>
        <v>81460</v>
      </c>
    </row>
    <row r="4293" spans="1:4" x14ac:dyDescent="0.25">
      <c r="A4293" s="2">
        <v>41122</v>
      </c>
      <c r="B4293" s="1" t="s">
        <v>26</v>
      </c>
      <c r="C4293" s="1">
        <v>0</v>
      </c>
      <c r="D4293" s="1">
        <f>0.073702*(1000000)</f>
        <v>73702</v>
      </c>
    </row>
    <row r="4294" spans="1:4" x14ac:dyDescent="0.25">
      <c r="A4294" s="2">
        <v>41153</v>
      </c>
      <c r="B4294" s="1" t="s">
        <v>26</v>
      </c>
      <c r="C4294" s="1">
        <v>0</v>
      </c>
      <c r="D4294" s="1">
        <f>0.080673*(1000000)</f>
        <v>80673</v>
      </c>
    </row>
    <row r="4295" spans="1:4" x14ac:dyDescent="0.25">
      <c r="A4295" s="2">
        <v>41183</v>
      </c>
      <c r="B4295" s="1" t="s">
        <v>26</v>
      </c>
      <c r="C4295" s="1">
        <v>0</v>
      </c>
      <c r="D4295" s="1">
        <f>0.082278*(1000000)</f>
        <v>82278</v>
      </c>
    </row>
    <row r="4296" spans="1:4" x14ac:dyDescent="0.25">
      <c r="A4296" s="2">
        <v>41214</v>
      </c>
      <c r="B4296" s="1" t="s">
        <v>26</v>
      </c>
      <c r="C4296" s="1">
        <v>0</v>
      </c>
      <c r="D4296" s="1">
        <f>0.103786*(1000000)</f>
        <v>103786</v>
      </c>
    </row>
    <row r="4297" spans="1:4" x14ac:dyDescent="0.25">
      <c r="A4297" s="2">
        <v>41244</v>
      </c>
      <c r="B4297" s="1" t="s">
        <v>26</v>
      </c>
      <c r="C4297" s="1">
        <v>0</v>
      </c>
      <c r="D4297" s="1">
        <f>0.104524*(1000000)</f>
        <v>104524</v>
      </c>
    </row>
    <row r="4298" spans="1:4" x14ac:dyDescent="0.25">
      <c r="A4298" s="2">
        <v>41275</v>
      </c>
      <c r="B4298" s="1" t="s">
        <v>26</v>
      </c>
      <c r="C4298" s="1">
        <v>0</v>
      </c>
      <c r="D4298" s="1">
        <f>0.106464*(1000000)</f>
        <v>106464</v>
      </c>
    </row>
    <row r="4299" spans="1:4" x14ac:dyDescent="0.25">
      <c r="A4299" s="2">
        <v>41306</v>
      </c>
      <c r="B4299" s="1" t="s">
        <v>26</v>
      </c>
      <c r="C4299" s="1">
        <v>0</v>
      </c>
      <c r="D4299" s="1">
        <f>0.108551*(1000000)</f>
        <v>108551</v>
      </c>
    </row>
    <row r="4300" spans="1:4" x14ac:dyDescent="0.25">
      <c r="A4300" s="2">
        <v>41334</v>
      </c>
      <c r="B4300" s="1" t="s">
        <v>26</v>
      </c>
      <c r="C4300" s="1">
        <v>0</v>
      </c>
      <c r="D4300" s="1">
        <f>0.116311*(1000000)</f>
        <v>116311</v>
      </c>
    </row>
    <row r="4301" spans="1:4" x14ac:dyDescent="0.25">
      <c r="A4301" s="2">
        <v>41365</v>
      </c>
      <c r="B4301" s="1" t="s">
        <v>26</v>
      </c>
      <c r="C4301" s="1">
        <v>0</v>
      </c>
      <c r="D4301" s="1">
        <f>0.117739*(1000000)</f>
        <v>117739</v>
      </c>
    </row>
    <row r="4302" spans="1:4" x14ac:dyDescent="0.25">
      <c r="A4302" s="2">
        <v>41395</v>
      </c>
      <c r="B4302" s="1" t="s">
        <v>26</v>
      </c>
      <c r="C4302" s="1">
        <v>0</v>
      </c>
      <c r="D4302" s="1">
        <f>0.120493*(1000000)</f>
        <v>120493</v>
      </c>
    </row>
    <row r="4303" spans="1:4" x14ac:dyDescent="0.25">
      <c r="A4303" s="2">
        <v>41426</v>
      </c>
      <c r="B4303" s="1" t="s">
        <v>26</v>
      </c>
      <c r="C4303" s="1">
        <v>0</v>
      </c>
      <c r="D4303" s="1">
        <f>0.126509*(1000000)</f>
        <v>126509.00000000001</v>
      </c>
    </row>
    <row r="4304" spans="1:4" x14ac:dyDescent="0.25">
      <c r="A4304" s="2">
        <v>41456</v>
      </c>
      <c r="B4304" s="1" t="s">
        <v>26</v>
      </c>
      <c r="C4304" s="1">
        <v>0</v>
      </c>
      <c r="D4304" s="1">
        <f>0.134574*(1000000)</f>
        <v>134574</v>
      </c>
    </row>
    <row r="4305" spans="1:4" x14ac:dyDescent="0.25">
      <c r="A4305" s="2">
        <v>41487</v>
      </c>
      <c r="B4305" s="1" t="s">
        <v>26</v>
      </c>
      <c r="C4305" s="1">
        <v>0</v>
      </c>
      <c r="D4305" s="1">
        <f>0.14659*(1000000)</f>
        <v>146590</v>
      </c>
    </row>
    <row r="4306" spans="1:4" x14ac:dyDescent="0.25">
      <c r="A4306" s="2">
        <v>41518</v>
      </c>
      <c r="B4306" s="1" t="s">
        <v>26</v>
      </c>
      <c r="C4306" s="1">
        <v>0</v>
      </c>
      <c r="D4306" s="1">
        <f>0.126518*(1000000)</f>
        <v>126517.99999999999</v>
      </c>
    </row>
    <row r="4307" spans="1:4" x14ac:dyDescent="0.25">
      <c r="A4307" s="2">
        <v>41548</v>
      </c>
      <c r="B4307" s="1" t="s">
        <v>26</v>
      </c>
      <c r="C4307" s="1">
        <v>0</v>
      </c>
      <c r="D4307" s="1">
        <f>0.171313*(1000000)</f>
        <v>171313</v>
      </c>
    </row>
    <row r="4308" spans="1:4" x14ac:dyDescent="0.25">
      <c r="A4308" s="2">
        <v>41579</v>
      </c>
      <c r="B4308" s="1" t="s">
        <v>26</v>
      </c>
      <c r="C4308" s="1">
        <v>0</v>
      </c>
      <c r="D4308" s="1">
        <f>0.182321*(1000000)</f>
        <v>182321</v>
      </c>
    </row>
    <row r="4309" spans="1:4" x14ac:dyDescent="0.25">
      <c r="A4309" s="2">
        <v>41609</v>
      </c>
      <c r="B4309" s="1" t="s">
        <v>26</v>
      </c>
      <c r="C4309" s="1">
        <v>0</v>
      </c>
      <c r="D4309" s="1">
        <f>0.174945*(1000000)</f>
        <v>174945</v>
      </c>
    </row>
    <row r="4310" spans="1:4" x14ac:dyDescent="0.25">
      <c r="A4310" s="2">
        <v>41640</v>
      </c>
      <c r="B4310" s="1" t="s">
        <v>26</v>
      </c>
      <c r="C4310" s="1">
        <v>0</v>
      </c>
      <c r="D4310" s="1">
        <f>0.177075*(1000000)</f>
        <v>177075</v>
      </c>
    </row>
    <row r="4311" spans="1:4" x14ac:dyDescent="0.25">
      <c r="A4311" s="2">
        <v>41671</v>
      </c>
      <c r="B4311" s="1" t="s">
        <v>26</v>
      </c>
      <c r="C4311" s="1">
        <v>0</v>
      </c>
      <c r="D4311" s="1">
        <f>0.182733*(1000000)</f>
        <v>182733</v>
      </c>
    </row>
    <row r="4312" spans="1:4" x14ac:dyDescent="0.25">
      <c r="A4312" s="2">
        <v>41699</v>
      </c>
      <c r="B4312" s="1" t="s">
        <v>26</v>
      </c>
      <c r="C4312" s="1">
        <v>0</v>
      </c>
      <c r="D4312" s="1">
        <f>0.196644*(1000000)</f>
        <v>196644</v>
      </c>
    </row>
    <row r="4313" spans="1:4" x14ac:dyDescent="0.25">
      <c r="A4313" s="2">
        <v>41730</v>
      </c>
      <c r="B4313" s="1" t="s">
        <v>26</v>
      </c>
      <c r="C4313" s="1">
        <v>0</v>
      </c>
      <c r="D4313" s="1">
        <f>0.206954*(1000000)</f>
        <v>206954</v>
      </c>
    </row>
    <row r="4314" spans="1:4" x14ac:dyDescent="0.25">
      <c r="A4314" s="2">
        <v>41760</v>
      </c>
      <c r="B4314" s="1" t="s">
        <v>26</v>
      </c>
      <c r="C4314" s="1">
        <v>0</v>
      </c>
      <c r="D4314" s="1">
        <f>0.222616*(1000000)</f>
        <v>222616</v>
      </c>
    </row>
    <row r="4315" spans="1:4" x14ac:dyDescent="0.25">
      <c r="A4315" s="2">
        <v>41791</v>
      </c>
      <c r="B4315" s="1" t="s">
        <v>26</v>
      </c>
      <c r="C4315" s="1">
        <v>0</v>
      </c>
      <c r="D4315" s="1">
        <f>0.223529*(1000000)</f>
        <v>223529</v>
      </c>
    </row>
    <row r="4316" spans="1:4" x14ac:dyDescent="0.25">
      <c r="A4316" s="2">
        <v>41821</v>
      </c>
      <c r="B4316" s="1" t="s">
        <v>26</v>
      </c>
      <c r="C4316" s="1">
        <v>0</v>
      </c>
      <c r="D4316" s="1">
        <f>0.228652*(1000000)</f>
        <v>228652</v>
      </c>
    </row>
    <row r="4317" spans="1:4" x14ac:dyDescent="0.25">
      <c r="A4317" s="2">
        <v>41852</v>
      </c>
      <c r="B4317" s="1" t="s">
        <v>26</v>
      </c>
      <c r="C4317" s="1">
        <v>0</v>
      </c>
      <c r="D4317" s="1">
        <f>0.234609*(1000000)</f>
        <v>234609</v>
      </c>
    </row>
    <row r="4318" spans="1:4" x14ac:dyDescent="0.25">
      <c r="A4318" s="2">
        <v>41883</v>
      </c>
      <c r="B4318" s="1" t="s">
        <v>26</v>
      </c>
      <c r="C4318" s="1">
        <v>0</v>
      </c>
      <c r="D4318" s="1">
        <f>0.241018*(1000000)</f>
        <v>241018</v>
      </c>
    </row>
    <row r="4319" spans="1:4" x14ac:dyDescent="0.25">
      <c r="A4319" s="2">
        <v>41913</v>
      </c>
      <c r="B4319" s="1" t="s">
        <v>26</v>
      </c>
      <c r="C4319" s="1">
        <v>0</v>
      </c>
      <c r="D4319" s="1">
        <f>0.247668*(1000000)</f>
        <v>247668</v>
      </c>
    </row>
    <row r="4320" spans="1:4" x14ac:dyDescent="0.25">
      <c r="A4320" s="2">
        <v>41944</v>
      </c>
      <c r="B4320" s="1" t="s">
        <v>26</v>
      </c>
      <c r="C4320" s="1">
        <v>0</v>
      </c>
      <c r="D4320" s="1">
        <f>0.255204*(1000000)</f>
        <v>255204</v>
      </c>
    </row>
    <row r="4321" spans="1:4" x14ac:dyDescent="0.25">
      <c r="A4321" s="2">
        <v>41974</v>
      </c>
      <c r="B4321" s="1" t="s">
        <v>26</v>
      </c>
      <c r="C4321" s="1">
        <v>0</v>
      </c>
      <c r="D4321" s="1">
        <f>0.263787*(1000000)</f>
        <v>263787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82"/>
  <sheetViews>
    <sheetView zoomScale="85" zoomScaleNormal="85" workbookViewId="0">
      <selection activeCell="X2" sqref="X2"/>
    </sheetView>
  </sheetViews>
  <sheetFormatPr defaultRowHeight="15" x14ac:dyDescent="0.25"/>
  <cols>
    <col min="9" max="9" width="11.5703125" bestFit="1" customWidth="1"/>
  </cols>
  <sheetData>
    <row r="1" spans="1:25" x14ac:dyDescent="0.25">
      <c r="A1" s="11"/>
      <c r="B1" s="11"/>
    </row>
    <row r="2" spans="1:25" x14ac:dyDescent="0.25">
      <c r="A2" t="s">
        <v>0</v>
      </c>
      <c r="B2" s="3" t="s">
        <v>27</v>
      </c>
      <c r="C2" s="3" t="s">
        <v>28</v>
      </c>
      <c r="D2" s="3" t="s">
        <v>29</v>
      </c>
      <c r="E2" s="3" t="s">
        <v>30</v>
      </c>
      <c r="F2" s="3" t="s">
        <v>31</v>
      </c>
      <c r="G2" s="3" t="s">
        <v>32</v>
      </c>
      <c r="H2" s="3" t="s">
        <v>33</v>
      </c>
      <c r="I2" s="3" t="s">
        <v>34</v>
      </c>
      <c r="J2" s="3" t="s">
        <v>35</v>
      </c>
      <c r="K2" s="3" t="s">
        <v>36</v>
      </c>
      <c r="L2" s="4" t="s">
        <v>37</v>
      </c>
      <c r="M2" s="4" t="s">
        <v>38</v>
      </c>
      <c r="N2" s="5" t="s">
        <v>39</v>
      </c>
      <c r="O2" s="4" t="s">
        <v>40</v>
      </c>
      <c r="P2" s="4" t="s">
        <v>41</v>
      </c>
      <c r="Q2" s="4" t="s">
        <v>42</v>
      </c>
      <c r="R2" s="4" t="s">
        <v>43</v>
      </c>
      <c r="S2" s="4" t="s">
        <v>44</v>
      </c>
      <c r="T2" s="6" t="s">
        <v>45</v>
      </c>
      <c r="U2" s="6" t="s">
        <v>46</v>
      </c>
      <c r="V2" s="6" t="s">
        <v>47</v>
      </c>
      <c r="W2" s="6" t="s">
        <v>48</v>
      </c>
      <c r="X2" s="6" t="s">
        <v>16</v>
      </c>
      <c r="Y2" s="6" t="s">
        <v>49</v>
      </c>
    </row>
    <row r="3" spans="1:25" x14ac:dyDescent="0.25">
      <c r="A3" s="7">
        <v>36526</v>
      </c>
      <c r="B3" s="3">
        <f>(237.3*(1))*(1000)</f>
        <v>237300</v>
      </c>
      <c r="C3" s="3">
        <f>(280.8*(1))*(1000)</f>
        <v>280800</v>
      </c>
      <c r="D3" s="3">
        <f>(9309.6*(1))*(1000)</f>
        <v>9309600</v>
      </c>
      <c r="E3" s="3">
        <f>1483.7*(1000)</f>
        <v>1483700</v>
      </c>
      <c r="F3" s="3">
        <f>326.6*(1000)</f>
        <v>326600</v>
      </c>
      <c r="G3" s="3">
        <f>5653*(1000)</f>
        <v>5653000</v>
      </c>
      <c r="H3" s="3">
        <f>1914.4*(1000)</f>
        <v>1914400</v>
      </c>
      <c r="I3" s="3">
        <f>388.3*(1000)</f>
        <v>388300</v>
      </c>
      <c r="J3" s="3">
        <f>735.7*(1000)</f>
        <v>735700</v>
      </c>
      <c r="K3" s="3">
        <f>2171.9*(1000)</f>
        <v>2171900</v>
      </c>
      <c r="L3" s="5">
        <f>0.000008*(1000000)</f>
        <v>8</v>
      </c>
      <c r="M3" s="5">
        <f>0.021672*(1000000)</f>
        <v>21672</v>
      </c>
      <c r="N3" s="5">
        <v>76852</v>
      </c>
      <c r="O3" s="5">
        <f>0.009375*(1000000)</f>
        <v>9375</v>
      </c>
      <c r="P3" s="5">
        <f>0.036474*(1000000)</f>
        <v>36474</v>
      </c>
      <c r="Q3" s="5">
        <f>0.030806*(1000000)</f>
        <v>30806</v>
      </c>
      <c r="R3" s="5">
        <f>0.033515*(1000000)</f>
        <v>33515</v>
      </c>
      <c r="S3" s="5">
        <f>0.015159*(1000000)</f>
        <v>15159</v>
      </c>
      <c r="T3" s="8">
        <v>1061.4000000000001</v>
      </c>
      <c r="U3" s="8">
        <v>550.29999999999995</v>
      </c>
      <c r="V3" s="8">
        <v>2208.9</v>
      </c>
      <c r="W3" s="8">
        <v>377.5</v>
      </c>
      <c r="X3" s="8">
        <v>908.9</v>
      </c>
      <c r="Y3" s="8">
        <v>1339.9</v>
      </c>
    </row>
    <row r="4" spans="1:25" x14ac:dyDescent="0.25">
      <c r="A4" s="7">
        <v>36557</v>
      </c>
      <c r="B4" s="3">
        <f>(238.2*(1))*(1000)</f>
        <v>238200</v>
      </c>
      <c r="C4" s="3">
        <f>(281.1*(1))*(1000)</f>
        <v>281100</v>
      </c>
      <c r="D4" s="3">
        <f>(9333*(1))*(1000)</f>
        <v>9333000</v>
      </c>
      <c r="E4" s="3">
        <f>1484*(1000)</f>
        <v>1484000</v>
      </c>
      <c r="F4" s="3">
        <f>326.2*(1000)</f>
        <v>326200</v>
      </c>
      <c r="G4" s="3">
        <f>5656.6*(1000)</f>
        <v>5656600</v>
      </c>
      <c r="H4" s="3">
        <f>1916.2*(1000)</f>
        <v>1916200</v>
      </c>
      <c r="I4" s="3">
        <f>389.2*(1000)</f>
        <v>389200</v>
      </c>
      <c r="J4" s="3">
        <f>737.4*(1000)</f>
        <v>737400</v>
      </c>
      <c r="K4" s="3">
        <f>2178.5*(1000)</f>
        <v>2178500</v>
      </c>
      <c r="L4" s="5">
        <f>0.000003*(1000000)</f>
        <v>3</v>
      </c>
      <c r="M4" s="5">
        <f>0.020328*(1000000)</f>
        <v>20328</v>
      </c>
      <c r="N4" s="5">
        <v>77001</v>
      </c>
      <c r="O4" s="5">
        <f>0.009166*(1000000)</f>
        <v>9166</v>
      </c>
      <c r="P4" s="5">
        <f>0.037356*(1000000)</f>
        <v>37356</v>
      </c>
      <c r="Q4" s="5">
        <f>0.031022*(1000000)</f>
        <v>31022</v>
      </c>
      <c r="R4" s="5">
        <f>0.034076*(1000000)</f>
        <v>34076</v>
      </c>
      <c r="S4" s="5">
        <f>0.015018*(1000000)</f>
        <v>15018</v>
      </c>
      <c r="T4" s="8">
        <v>1066.2</v>
      </c>
      <c r="U4" s="8">
        <v>551.70000000000005</v>
      </c>
      <c r="V4" s="8">
        <v>2217.6999999999998</v>
      </c>
      <c r="W4" s="8">
        <v>378.3</v>
      </c>
      <c r="X4" s="8">
        <v>909.1</v>
      </c>
      <c r="Y4" s="8">
        <v>1337.1</v>
      </c>
    </row>
    <row r="5" spans="1:25" x14ac:dyDescent="0.25">
      <c r="A5" s="7">
        <v>36586</v>
      </c>
      <c r="B5" s="3">
        <f>(239.7*(1))*(1000)</f>
        <v>239700</v>
      </c>
      <c r="C5" s="3">
        <f>(282.2*(1))*(1000)</f>
        <v>282200</v>
      </c>
      <c r="D5" s="3">
        <f>(9364.5*(1))*(1000)</f>
        <v>9364500</v>
      </c>
      <c r="E5" s="3">
        <f>1490.1*(1000)</f>
        <v>1490100</v>
      </c>
      <c r="F5" s="3">
        <f>327.6*(1000)</f>
        <v>327600</v>
      </c>
      <c r="G5" s="3">
        <f>5678.8*(1000)</f>
        <v>5678800</v>
      </c>
      <c r="H5" s="3">
        <f>1918.9*(1000)</f>
        <v>1918900</v>
      </c>
      <c r="I5" s="3">
        <f>392.8*(1000)</f>
        <v>392800</v>
      </c>
      <c r="J5" s="3">
        <f>740.4*(1000)</f>
        <v>740400</v>
      </c>
      <c r="K5" s="3">
        <f>2192.5*(1000)</f>
        <v>2192500</v>
      </c>
      <c r="L5" s="5">
        <f>0.000007*(1000000)</f>
        <v>7</v>
      </c>
      <c r="M5" s="5">
        <f>0.019836*(1000000)</f>
        <v>19836</v>
      </c>
      <c r="N5" s="5">
        <v>75263</v>
      </c>
      <c r="O5" s="5">
        <f>0.009016*(1000000)</f>
        <v>9016</v>
      </c>
      <c r="P5" s="5">
        <f>0.037747*(1000000)</f>
        <v>37747</v>
      </c>
      <c r="Q5" s="5">
        <f>0.030559*(1000000)</f>
        <v>30559</v>
      </c>
      <c r="R5" s="5">
        <f>0.034595*(1000000)</f>
        <v>34595</v>
      </c>
      <c r="S5" s="5">
        <f>0.015192*(1000000)</f>
        <v>15192</v>
      </c>
      <c r="T5" s="8">
        <v>1069.5</v>
      </c>
      <c r="U5" s="8">
        <v>553</v>
      </c>
      <c r="V5" s="8">
        <v>2225.1999999999998</v>
      </c>
      <c r="W5" s="8">
        <v>380.4</v>
      </c>
      <c r="X5" s="8">
        <v>912.7</v>
      </c>
      <c r="Y5" s="8">
        <v>1340.7</v>
      </c>
    </row>
    <row r="6" spans="1:25" x14ac:dyDescent="0.25">
      <c r="A6" s="7">
        <v>36617</v>
      </c>
      <c r="B6" s="3">
        <f>(239.4*(1))*(1000)</f>
        <v>239400</v>
      </c>
      <c r="C6" s="3">
        <f>(282*(1))*(1000)</f>
        <v>282000</v>
      </c>
      <c r="D6" s="3">
        <f>(9372.4*(1))*(1000)</f>
        <v>9372400</v>
      </c>
      <c r="E6" s="3">
        <f>1493.5*(1000)</f>
        <v>1493500</v>
      </c>
      <c r="F6" s="3">
        <f>327.6*(1000)</f>
        <v>327600</v>
      </c>
      <c r="G6" s="3">
        <f>5691.4*(1000)</f>
        <v>5691400</v>
      </c>
      <c r="H6" s="3">
        <f>1919.1*(1000)</f>
        <v>1919100</v>
      </c>
      <c r="I6" s="3">
        <f>390.9*(1000)</f>
        <v>390900</v>
      </c>
      <c r="J6" s="3">
        <f>741.9*(1000)</f>
        <v>741900</v>
      </c>
      <c r="K6" s="3">
        <f>2199*(1000)</f>
        <v>2199000</v>
      </c>
      <c r="L6" s="5">
        <f>0.000003*(1000000)</f>
        <v>3</v>
      </c>
      <c r="M6" s="5">
        <f>0.020105*(1000000)</f>
        <v>20105</v>
      </c>
      <c r="N6" s="5">
        <v>75433</v>
      </c>
      <c r="O6" s="5">
        <f>0.009936*(1000000)</f>
        <v>9936</v>
      </c>
      <c r="P6" s="5">
        <f>0.040307*(1000000)</f>
        <v>40307</v>
      </c>
      <c r="Q6" s="5">
        <f>0.030527*(1000000)</f>
        <v>30527</v>
      </c>
      <c r="R6" s="5">
        <f>0.034714*(1000000)</f>
        <v>34714</v>
      </c>
      <c r="S6" s="5">
        <f>0.015273*(1000000)</f>
        <v>15273</v>
      </c>
      <c r="T6" s="8">
        <v>1072.0999999999999</v>
      </c>
      <c r="U6" s="8">
        <v>557.79999999999995</v>
      </c>
      <c r="V6" s="8">
        <v>2229.3000000000002</v>
      </c>
      <c r="W6" s="8">
        <v>379.7</v>
      </c>
      <c r="X6" s="8">
        <v>909.9</v>
      </c>
      <c r="Y6" s="8">
        <v>1346.5</v>
      </c>
    </row>
    <row r="7" spans="1:25" x14ac:dyDescent="0.25">
      <c r="A7" s="7">
        <v>36647</v>
      </c>
      <c r="B7" s="3">
        <f>(239.4*(1))*(1000)</f>
        <v>239400</v>
      </c>
      <c r="C7" s="3">
        <f>(283*(1))*(1000)</f>
        <v>283000</v>
      </c>
      <c r="D7" s="3">
        <f>(9415.7*(1))*(1000)</f>
        <v>9415700</v>
      </c>
      <c r="E7" s="3">
        <f>1500.5*(1000)</f>
        <v>1500500</v>
      </c>
      <c r="F7" s="3">
        <f>327.7*(1000)</f>
        <v>327700</v>
      </c>
      <c r="G7" s="3">
        <f>5696.3*(1000)</f>
        <v>5696300</v>
      </c>
      <c r="H7" s="3">
        <f>1928.2*(1000)</f>
        <v>1928200</v>
      </c>
      <c r="I7" s="3">
        <f>392.7*(1000)</f>
        <v>392700</v>
      </c>
      <c r="J7" s="3">
        <f>743.7*(1000)</f>
        <v>743700</v>
      </c>
      <c r="K7" s="3">
        <f>2209.8*(1000)</f>
        <v>2209800</v>
      </c>
      <c r="L7" s="5">
        <f>0.000005*(1000000)</f>
        <v>5</v>
      </c>
      <c r="M7" s="5">
        <f>0.019256*(1000000)</f>
        <v>19256</v>
      </c>
      <c r="N7" s="5">
        <v>74318</v>
      </c>
      <c r="O7" s="5">
        <f>0.009459*(1000000)</f>
        <v>9459</v>
      </c>
      <c r="P7" s="5">
        <f>0.039821*(1000000)</f>
        <v>39821</v>
      </c>
      <c r="Q7" s="5">
        <f>0.030801*(1000000)</f>
        <v>30801</v>
      </c>
      <c r="R7" s="5">
        <f>0.034687*(1000000)</f>
        <v>34687</v>
      </c>
      <c r="S7" s="5">
        <f>0.014856*(1000000)</f>
        <v>14856</v>
      </c>
      <c r="T7" s="8">
        <v>1074.9000000000001</v>
      </c>
      <c r="U7" s="8">
        <v>560.9</v>
      </c>
      <c r="V7" s="8">
        <v>2242.6999999999998</v>
      </c>
      <c r="W7" s="8">
        <v>378.1</v>
      </c>
      <c r="X7" s="8">
        <v>912.6</v>
      </c>
      <c r="Y7" s="8">
        <v>1349.1</v>
      </c>
    </row>
    <row r="8" spans="1:25" x14ac:dyDescent="0.25">
      <c r="A8" s="7">
        <v>36678</v>
      </c>
      <c r="B8" s="3">
        <f>(237.5*(1))*(1000)</f>
        <v>237500</v>
      </c>
      <c r="C8" s="3">
        <f>(283.1*(1))*(1000)</f>
        <v>283100</v>
      </c>
      <c r="D8" s="3">
        <f>(9425.8*(1))*(1000)</f>
        <v>9425800</v>
      </c>
      <c r="E8" s="3">
        <f>1505.6*(1000)</f>
        <v>1505600</v>
      </c>
      <c r="F8" s="3">
        <f>326.4*(1000)</f>
        <v>326400</v>
      </c>
      <c r="G8" s="3">
        <f>5696.6*(1000)</f>
        <v>5696600</v>
      </c>
      <c r="H8" s="3">
        <f>1917.1*(1000)</f>
        <v>1917100</v>
      </c>
      <c r="I8" s="3">
        <f>390.8*(1000)</f>
        <v>390800</v>
      </c>
      <c r="J8" s="3">
        <f>742*(1000)</f>
        <v>742000</v>
      </c>
      <c r="K8" s="3">
        <f>2210.8*(1000)</f>
        <v>2210800</v>
      </c>
      <c r="L8" s="5">
        <f>0.000005*(1000000)</f>
        <v>5</v>
      </c>
      <c r="M8" s="5">
        <f>0.018929*(1000000)</f>
        <v>18929</v>
      </c>
      <c r="N8" s="5">
        <v>73603</v>
      </c>
      <c r="O8" s="5">
        <f>0.009176*(1000000)</f>
        <v>9176</v>
      </c>
      <c r="P8" s="5">
        <f>0.039401*(1000000)</f>
        <v>39401</v>
      </c>
      <c r="Q8" s="5">
        <f>0.03097*(1000000)</f>
        <v>30970</v>
      </c>
      <c r="R8" s="5">
        <f>0.034944*(1000000)</f>
        <v>34944</v>
      </c>
      <c r="S8" s="5">
        <f>0.014496*(1000000)</f>
        <v>14496</v>
      </c>
      <c r="T8" s="8">
        <v>1075.5</v>
      </c>
      <c r="U8" s="8">
        <v>559.6</v>
      </c>
      <c r="V8" s="8">
        <v>2240.6</v>
      </c>
      <c r="W8" s="8">
        <v>377.4</v>
      </c>
      <c r="X8" s="8">
        <v>915.8</v>
      </c>
      <c r="Y8" s="8">
        <v>1348.7</v>
      </c>
    </row>
    <row r="9" spans="1:25" x14ac:dyDescent="0.25">
      <c r="A9" s="7">
        <v>36708</v>
      </c>
      <c r="B9" s="3">
        <f>(239.3*(1))*(1000)</f>
        <v>239300</v>
      </c>
      <c r="C9" s="3">
        <f>(284*(1))*(1000)</f>
        <v>284000</v>
      </c>
      <c r="D9" s="3">
        <f>(9436.9*(1))*(1000)</f>
        <v>9436900</v>
      </c>
      <c r="E9" s="3">
        <f>1505.8*(1000)</f>
        <v>1505800</v>
      </c>
      <c r="F9" s="3">
        <f>331.2*(1000)</f>
        <v>331200</v>
      </c>
      <c r="G9" s="3">
        <f>5712.4*(1000)</f>
        <v>5712400</v>
      </c>
      <c r="H9" s="3">
        <f>1914.8*(1000)</f>
        <v>1914800</v>
      </c>
      <c r="I9" s="3">
        <f>391.7*(1000)</f>
        <v>391700</v>
      </c>
      <c r="J9" s="3">
        <f>745.8*(1000)</f>
        <v>745800</v>
      </c>
      <c r="K9" s="3">
        <f>2217.5*(1000)</f>
        <v>2217500</v>
      </c>
      <c r="L9" s="5">
        <f>0.000006*(1000000)</f>
        <v>6</v>
      </c>
      <c r="M9" s="5">
        <f>0.018677*(1000000)</f>
        <v>18677</v>
      </c>
      <c r="N9" s="5">
        <v>72377</v>
      </c>
      <c r="O9" s="5">
        <f>0.009782*(1000000)</f>
        <v>9782</v>
      </c>
      <c r="P9" s="5">
        <f>0.039708*(1000000)</f>
        <v>39708</v>
      </c>
      <c r="Q9" s="5">
        <f>0.029614*(1000000)</f>
        <v>29614</v>
      </c>
      <c r="R9" s="5">
        <f>0.034348*(1000000)</f>
        <v>34348</v>
      </c>
      <c r="S9" s="5">
        <f>0.014108*(1000000)</f>
        <v>14108</v>
      </c>
      <c r="T9" s="8">
        <v>1076.2</v>
      </c>
      <c r="U9" s="8">
        <v>560.79999999999995</v>
      </c>
      <c r="V9" s="8">
        <v>2244.5</v>
      </c>
      <c r="W9" s="8">
        <v>376.3</v>
      </c>
      <c r="X9" s="8">
        <v>913.6</v>
      </c>
      <c r="Y9" s="8">
        <v>1345.4</v>
      </c>
    </row>
    <row r="10" spans="1:25" x14ac:dyDescent="0.25">
      <c r="A10" s="7">
        <v>36739</v>
      </c>
      <c r="B10" s="3">
        <f>(240.5*(1))*(1000)</f>
        <v>240500</v>
      </c>
      <c r="C10" s="3">
        <f>(283.9*(1))*(1000)</f>
        <v>283900</v>
      </c>
      <c r="D10" s="3">
        <f>(9463.6*(1))*(1000)</f>
        <v>9463600</v>
      </c>
      <c r="E10" s="3">
        <f>1509*(1000)</f>
        <v>1509000</v>
      </c>
      <c r="F10" s="3">
        <f>329.3*(1000)</f>
        <v>329300</v>
      </c>
      <c r="G10" s="3">
        <f>5698.7*(1000)</f>
        <v>5698700</v>
      </c>
      <c r="H10" s="3">
        <f>1916.5*(1000)</f>
        <v>1916500</v>
      </c>
      <c r="I10" s="3">
        <f>392.5*(1000)</f>
        <v>392500</v>
      </c>
      <c r="J10" s="3">
        <f>747.8*(1000)</f>
        <v>747800</v>
      </c>
      <c r="K10" s="3">
        <f>2228.1*(1000)</f>
        <v>2228100</v>
      </c>
      <c r="L10" s="5">
        <f>0.000004*(1000000)</f>
        <v>4</v>
      </c>
      <c r="M10" s="5">
        <f>0.018315*(1000000)</f>
        <v>18315</v>
      </c>
      <c r="N10" s="5">
        <v>72833</v>
      </c>
      <c r="O10" s="5">
        <f>0.009201*(1000000)</f>
        <v>9201</v>
      </c>
      <c r="P10" s="5">
        <f>0.041337*(1000000)</f>
        <v>41337</v>
      </c>
      <c r="Q10" s="5">
        <f>0.029604*(1000000)</f>
        <v>29604</v>
      </c>
      <c r="R10" s="5">
        <f>0.033866*(1000000)</f>
        <v>33866</v>
      </c>
      <c r="S10" s="5">
        <f>0.014389*(1000000)</f>
        <v>14389</v>
      </c>
      <c r="T10" s="8">
        <v>1077.2</v>
      </c>
      <c r="U10" s="8">
        <v>563.1</v>
      </c>
      <c r="V10" s="8">
        <v>2250.3000000000002</v>
      </c>
      <c r="W10" s="8">
        <v>376.6</v>
      </c>
      <c r="X10" s="8">
        <v>916.2</v>
      </c>
      <c r="Y10" s="8">
        <v>1348</v>
      </c>
    </row>
    <row r="11" spans="1:25" x14ac:dyDescent="0.25">
      <c r="A11" s="7">
        <v>36770</v>
      </c>
      <c r="B11" s="3">
        <f>(239.2*(1))*(1000)</f>
        <v>239200</v>
      </c>
      <c r="C11" s="3">
        <f>(282.8*(1))*(1000)</f>
        <v>282800</v>
      </c>
      <c r="D11" s="3">
        <f>(9485.9*(1))*(1000)</f>
        <v>9485900</v>
      </c>
      <c r="E11" s="3">
        <f>1511.7*(1000)</f>
        <v>1511700</v>
      </c>
      <c r="F11" s="3">
        <f>328*(1000)</f>
        <v>328000</v>
      </c>
      <c r="G11" s="3">
        <f>5712.7*(1000)</f>
        <v>5712700</v>
      </c>
      <c r="H11" s="3">
        <f>1915.1*(1000)</f>
        <v>1915100</v>
      </c>
      <c r="I11" s="3">
        <f>392.5*(1000)</f>
        <v>392500</v>
      </c>
      <c r="J11" s="3">
        <f>748.7*(1000)</f>
        <v>748700</v>
      </c>
      <c r="K11" s="3">
        <f>2231.5*(1000)</f>
        <v>2231500</v>
      </c>
      <c r="L11" s="5">
        <f>0.000004*(1000000)</f>
        <v>4</v>
      </c>
      <c r="M11" s="5">
        <f>0.018576*(1000000)</f>
        <v>18576</v>
      </c>
      <c r="N11" s="5">
        <v>73846</v>
      </c>
      <c r="O11" s="5">
        <f>0.008953*(1000000)</f>
        <v>8953</v>
      </c>
      <c r="P11" s="5">
        <f>0.041001*(1000000)</f>
        <v>41001</v>
      </c>
      <c r="Q11" s="5">
        <f>0.030909*(1000000)</f>
        <v>30909</v>
      </c>
      <c r="R11" s="5">
        <f>0.034396*(1000000)</f>
        <v>34396</v>
      </c>
      <c r="S11" s="5">
        <f>0.014199*(1000000)</f>
        <v>14199</v>
      </c>
      <c r="T11" s="8">
        <v>1079.4000000000001</v>
      </c>
      <c r="U11" s="8">
        <v>563.9</v>
      </c>
      <c r="V11" s="8">
        <v>2259.6</v>
      </c>
      <c r="W11" s="8">
        <v>377.2</v>
      </c>
      <c r="X11" s="8">
        <v>915.3</v>
      </c>
      <c r="Y11" s="8">
        <v>1344.6</v>
      </c>
    </row>
    <row r="12" spans="1:25" x14ac:dyDescent="0.25">
      <c r="A12" s="7">
        <v>36800</v>
      </c>
      <c r="B12" s="3">
        <f>(240.4*(1))*(1000)</f>
        <v>240400</v>
      </c>
      <c r="C12" s="3">
        <f>(283.8*(1))*(1000)</f>
        <v>283800</v>
      </c>
      <c r="D12" s="3">
        <f>(9496.2*(1))*(1000)</f>
        <v>9496200</v>
      </c>
      <c r="E12" s="3">
        <f>1512.9*(1000)</f>
        <v>1512900</v>
      </c>
      <c r="F12" s="3">
        <f>327.7*(1000)</f>
        <v>327700</v>
      </c>
      <c r="G12" s="3">
        <f>5710.1*(1000)</f>
        <v>5710100</v>
      </c>
      <c r="H12" s="3">
        <f>1918.2*(1000)</f>
        <v>1918200</v>
      </c>
      <c r="I12" s="3">
        <f>390.8*(1000)</f>
        <v>390800</v>
      </c>
      <c r="J12" s="3">
        <f>749.2*(1000)</f>
        <v>749200</v>
      </c>
      <c r="K12" s="3">
        <f>2237.4*(1000)</f>
        <v>2237400</v>
      </c>
      <c r="L12" s="5">
        <f>0.000004*(1000000)</f>
        <v>4</v>
      </c>
      <c r="M12" s="5">
        <f>0.018345*(1000000)</f>
        <v>18345</v>
      </c>
      <c r="N12" s="5">
        <v>75381</v>
      </c>
      <c r="O12" s="5">
        <f>0.009594*(1000000)</f>
        <v>9594</v>
      </c>
      <c r="P12" s="5">
        <f>0.042013*(1000000)</f>
        <v>42013</v>
      </c>
      <c r="Q12" s="5">
        <f>0.030658*(1000000)</f>
        <v>30658</v>
      </c>
      <c r="R12" s="5">
        <f>0.035613*(1000000)</f>
        <v>35613</v>
      </c>
      <c r="S12" s="5">
        <f>0.015817*(1000000)</f>
        <v>15817.000000000002</v>
      </c>
      <c r="T12" s="8">
        <v>1082.5</v>
      </c>
      <c r="U12" s="8">
        <v>563</v>
      </c>
      <c r="V12" s="8">
        <v>2262.1</v>
      </c>
      <c r="W12" s="8">
        <v>377.9</v>
      </c>
      <c r="X12" s="8">
        <v>915.3</v>
      </c>
      <c r="Y12" s="8">
        <v>1350.9</v>
      </c>
    </row>
    <row r="13" spans="1:25" x14ac:dyDescent="0.25">
      <c r="A13" s="7">
        <v>36831</v>
      </c>
      <c r="B13" s="3">
        <f>(240.3*(1))*(1000)</f>
        <v>240300</v>
      </c>
      <c r="C13" s="3">
        <f>(284*(1))*(1000)</f>
        <v>284000</v>
      </c>
      <c r="D13" s="3">
        <f>(9509.6*(1))*(1000)</f>
        <v>9509600</v>
      </c>
      <c r="E13" s="3">
        <f>1517.3*(1000)</f>
        <v>1517300</v>
      </c>
      <c r="F13" s="3">
        <f>327.6*(1000)</f>
        <v>327600</v>
      </c>
      <c r="G13" s="3">
        <f>5714.1*(1000)</f>
        <v>5714100</v>
      </c>
      <c r="H13" s="3">
        <f>1916.5*(1000)</f>
        <v>1916500</v>
      </c>
      <c r="I13" s="3">
        <f>392.5*(1000)</f>
        <v>392500</v>
      </c>
      <c r="J13" s="3">
        <f>752.2*(1000)</f>
        <v>752200</v>
      </c>
      <c r="K13" s="3">
        <f>2243.8*(1000)</f>
        <v>2243800</v>
      </c>
      <c r="L13" s="5">
        <f>0.000004*(1000000)</f>
        <v>4</v>
      </c>
      <c r="M13" s="5">
        <f>0.018461*(1000000)</f>
        <v>18461</v>
      </c>
      <c r="N13" s="5">
        <v>75923</v>
      </c>
      <c r="O13" s="5">
        <f>0.009404*(1000000)</f>
        <v>9404</v>
      </c>
      <c r="P13" s="5">
        <f>0.038918*(1000000)</f>
        <v>38918</v>
      </c>
      <c r="Q13" s="5">
        <f>0.030128*(1000000)</f>
        <v>30128</v>
      </c>
      <c r="R13" s="5">
        <f>0.035404*(1000000)</f>
        <v>35404</v>
      </c>
      <c r="S13" s="5">
        <f>0.015567*(1000000)</f>
        <v>15567</v>
      </c>
      <c r="T13" s="8">
        <v>1083.5999999999999</v>
      </c>
      <c r="U13" s="8">
        <v>565.9</v>
      </c>
      <c r="V13" s="8">
        <v>2265.9</v>
      </c>
      <c r="W13" s="8">
        <v>377.7</v>
      </c>
      <c r="X13" s="8">
        <v>916.7</v>
      </c>
      <c r="Y13" s="8">
        <v>1351.5</v>
      </c>
    </row>
    <row r="14" spans="1:25" x14ac:dyDescent="0.25">
      <c r="A14" s="7">
        <v>36861</v>
      </c>
      <c r="B14" s="3">
        <f>(241.6*(1))*(1000)</f>
        <v>241600</v>
      </c>
      <c r="C14" s="3">
        <f>(285.5*(1))*(1000)</f>
        <v>285500</v>
      </c>
      <c r="D14" s="3">
        <f>(9535*(1))*(1000)</f>
        <v>9535000</v>
      </c>
      <c r="E14" s="3">
        <f>1517.9*(1000)</f>
        <v>1517900</v>
      </c>
      <c r="F14" s="3">
        <f>328.1*(1000)</f>
        <v>328100</v>
      </c>
      <c r="G14" s="3">
        <f>5714*(1000)</f>
        <v>5714000</v>
      </c>
      <c r="H14" s="3">
        <f>1920.9*(1000)</f>
        <v>1920900</v>
      </c>
      <c r="I14" s="3">
        <f>390.8*(1000)</f>
        <v>390800</v>
      </c>
      <c r="J14" s="3">
        <f>754.1*(1000)</f>
        <v>754100</v>
      </c>
      <c r="K14" s="3">
        <f>2249.9*(1000)</f>
        <v>2249900</v>
      </c>
      <c r="L14" s="5">
        <f>0.000005*(1000000)</f>
        <v>5</v>
      </c>
      <c r="M14" s="5">
        <f>0.017734*(1000000)</f>
        <v>17734</v>
      </c>
      <c r="N14" s="5">
        <v>75136</v>
      </c>
      <c r="O14" s="5">
        <f>0.009543*(1000000)</f>
        <v>9543</v>
      </c>
      <c r="P14" s="5">
        <f>0.0382*(1000000)</f>
        <v>38200</v>
      </c>
      <c r="Q14" s="5">
        <f>0.030483*(1000000)</f>
        <v>30483</v>
      </c>
      <c r="R14" s="5">
        <f>0.035126*(1000000)</f>
        <v>35126</v>
      </c>
      <c r="S14" s="5">
        <f>0.015325*(1000000)</f>
        <v>15325</v>
      </c>
      <c r="T14" s="8">
        <v>1086.5999999999999</v>
      </c>
      <c r="U14" s="8">
        <v>565.79999999999995</v>
      </c>
      <c r="V14" s="8">
        <v>2273.8000000000002</v>
      </c>
      <c r="W14" s="8">
        <v>377.5</v>
      </c>
      <c r="X14" s="8">
        <v>914.7</v>
      </c>
      <c r="Y14" s="8">
        <v>1349.5</v>
      </c>
    </row>
    <row r="15" spans="1:25" x14ac:dyDescent="0.25">
      <c r="A15" s="7">
        <v>36892</v>
      </c>
      <c r="B15" s="3">
        <f>(242.6*(1))*(1000)</f>
        <v>242600</v>
      </c>
      <c r="C15" s="3">
        <f>(283.1*(1))*(1000)</f>
        <v>283100</v>
      </c>
      <c r="D15" s="3">
        <f>(9539*(1))*(1000)</f>
        <v>9539000</v>
      </c>
      <c r="E15" s="3">
        <f>1516.8*(1000)</f>
        <v>1516800</v>
      </c>
      <c r="F15" s="3">
        <f>330*(1000)</f>
        <v>330000</v>
      </c>
      <c r="G15" s="3">
        <f>5718*(1000)</f>
        <v>5718000</v>
      </c>
      <c r="H15" s="3">
        <f>1922.9*(1000)</f>
        <v>1922900</v>
      </c>
      <c r="I15" s="3">
        <f>391.3*(1000)</f>
        <v>391300</v>
      </c>
      <c r="J15" s="3">
        <f>752.4*(1000)</f>
        <v>752400</v>
      </c>
      <c r="K15" s="3">
        <f>2249.7*(1000)</f>
        <v>2249700</v>
      </c>
      <c r="L15" s="5">
        <f>0.000004*(1000000)</f>
        <v>4</v>
      </c>
      <c r="M15" s="5">
        <f>0.017391*(1000000)</f>
        <v>17391</v>
      </c>
      <c r="N15" s="5">
        <v>77687</v>
      </c>
      <c r="O15" s="5">
        <f>0.009401*(1000000)</f>
        <v>9401</v>
      </c>
      <c r="P15" s="5">
        <f>0.038751*(1000000)</f>
        <v>38751</v>
      </c>
      <c r="Q15" s="5">
        <f>0.030317*(1000000)</f>
        <v>30317</v>
      </c>
      <c r="R15" s="5">
        <f>0.035303*(1000000)</f>
        <v>35303</v>
      </c>
      <c r="S15" s="5">
        <f>0.01648*(1000000)</f>
        <v>16480</v>
      </c>
      <c r="T15" s="8">
        <v>1085.0999999999999</v>
      </c>
      <c r="U15" s="8">
        <v>567.29999999999995</v>
      </c>
      <c r="V15" s="8">
        <v>2265.9</v>
      </c>
      <c r="W15" s="8">
        <v>379.5</v>
      </c>
      <c r="X15" s="8">
        <v>918.2</v>
      </c>
      <c r="Y15" s="8">
        <v>1352</v>
      </c>
    </row>
    <row r="16" spans="1:25" x14ac:dyDescent="0.25">
      <c r="A16" s="7">
        <v>36923</v>
      </c>
      <c r="B16" s="3">
        <f>(243.5*(1))*(1000)</f>
        <v>243500</v>
      </c>
      <c r="C16" s="3">
        <f>(286.1*(1))*(1000)</f>
        <v>286100</v>
      </c>
      <c r="D16" s="3">
        <f>(9548*(1))*(1000)</f>
        <v>9548000</v>
      </c>
      <c r="E16" s="3">
        <f>1520.6*(1000)</f>
        <v>1520600</v>
      </c>
      <c r="F16" s="3">
        <f>330*(1000)</f>
        <v>330000</v>
      </c>
      <c r="G16" s="3">
        <f>5723.4*(1000)</f>
        <v>5723400</v>
      </c>
      <c r="H16" s="3">
        <f>1922.7*(1000)</f>
        <v>1922700</v>
      </c>
      <c r="I16" s="3">
        <f>391.6*(1000)</f>
        <v>391600</v>
      </c>
      <c r="J16" s="3">
        <f>754.9*(1000)</f>
        <v>754900</v>
      </c>
      <c r="K16" s="3">
        <f>2249.2*(1000)</f>
        <v>2249200</v>
      </c>
      <c r="L16" s="5">
        <f>0.000004*(1000000)</f>
        <v>4</v>
      </c>
      <c r="M16" s="5">
        <f>0.0171*(1000000)</f>
        <v>17100</v>
      </c>
      <c r="N16" s="5">
        <v>76328</v>
      </c>
      <c r="O16" s="5">
        <f>0.009395*(1000000)</f>
        <v>9395</v>
      </c>
      <c r="P16" s="5">
        <f>0.038349*(1000000)</f>
        <v>38349</v>
      </c>
      <c r="Q16" s="5">
        <f>0.030687*(1000000)</f>
        <v>30687</v>
      </c>
      <c r="R16" s="5">
        <f>0.036168*(1000000)</f>
        <v>36168</v>
      </c>
      <c r="S16" s="5">
        <f>0.015632*(1000000)</f>
        <v>15632</v>
      </c>
      <c r="T16" s="8">
        <v>1085.5</v>
      </c>
      <c r="U16" s="8">
        <v>569.20000000000005</v>
      </c>
      <c r="V16" s="8">
        <v>2273.1999999999998</v>
      </c>
      <c r="W16" s="8">
        <v>380.3</v>
      </c>
      <c r="X16" s="8">
        <v>917.5</v>
      </c>
      <c r="Y16" s="8">
        <v>1351.2</v>
      </c>
    </row>
    <row r="17" spans="1:25" x14ac:dyDescent="0.25">
      <c r="A17" s="7">
        <v>36951</v>
      </c>
      <c r="B17" s="3">
        <f>(244.1*(1))*(1000)</f>
        <v>244100</v>
      </c>
      <c r="C17" s="3">
        <f>(285.7*(1))*(1000)</f>
        <v>285700</v>
      </c>
      <c r="D17" s="3">
        <f>(9554.8*(1))*(1000)</f>
        <v>9554800</v>
      </c>
      <c r="E17" s="3">
        <f>1523.7*(1000)</f>
        <v>1523700</v>
      </c>
      <c r="F17" s="3">
        <f>330.7*(1000)</f>
        <v>330700</v>
      </c>
      <c r="G17" s="3">
        <f>5718.1*(1000)</f>
        <v>5718100</v>
      </c>
      <c r="H17" s="3">
        <f>1924.7*(1000)</f>
        <v>1924700</v>
      </c>
      <c r="I17" s="3">
        <f>392.1*(1000)</f>
        <v>392100</v>
      </c>
      <c r="J17" s="3">
        <f>757*(1000)</f>
        <v>757000</v>
      </c>
      <c r="K17" s="3">
        <f>2248.8*(1000)</f>
        <v>2248800</v>
      </c>
      <c r="L17" s="5">
        <f>0.000005*(1000000)</f>
        <v>5</v>
      </c>
      <c r="M17" s="5">
        <f>0.017474*(1000000)</f>
        <v>17474</v>
      </c>
      <c r="N17" s="5">
        <v>76461</v>
      </c>
      <c r="O17" s="5">
        <f>0.009257*(1000000)</f>
        <v>9257</v>
      </c>
      <c r="P17" s="5">
        <f>0.038964*(1000000)</f>
        <v>38964</v>
      </c>
      <c r="Q17" s="5">
        <f>0.030353*(1000000)</f>
        <v>30353</v>
      </c>
      <c r="R17" s="5">
        <f>0.034849*(1000000)</f>
        <v>34849</v>
      </c>
      <c r="S17" s="5">
        <f>0.016436*(1000000)</f>
        <v>16436</v>
      </c>
      <c r="T17" s="8">
        <v>1087.2</v>
      </c>
      <c r="U17" s="8">
        <v>570.4</v>
      </c>
      <c r="V17" s="8">
        <v>2278.1999999999998</v>
      </c>
      <c r="W17" s="8">
        <v>380</v>
      </c>
      <c r="X17" s="8">
        <v>918.5</v>
      </c>
      <c r="Y17" s="8">
        <v>1353.4</v>
      </c>
    </row>
    <row r="18" spans="1:25" x14ac:dyDescent="0.25">
      <c r="A18" s="7">
        <v>36982</v>
      </c>
      <c r="B18" s="3">
        <f>(244.5*(1))*(1000)</f>
        <v>244500</v>
      </c>
      <c r="C18" s="3">
        <f>(288.2*(1))*(1000)</f>
        <v>288200</v>
      </c>
      <c r="D18" s="3">
        <f>(9546.9*(1))*(1000)</f>
        <v>9546900</v>
      </c>
      <c r="E18" s="3">
        <f>1525.3*(1000)</f>
        <v>1525300</v>
      </c>
      <c r="F18" s="3">
        <f>330.3*(1000)</f>
        <v>330300</v>
      </c>
      <c r="G18" s="3">
        <f>5703.9*(1000)</f>
        <v>5703900</v>
      </c>
      <c r="H18" s="3">
        <f>1920.6*(1000)</f>
        <v>1920600</v>
      </c>
      <c r="I18" s="3">
        <f>391.2*(1000)</f>
        <v>391200</v>
      </c>
      <c r="J18" s="3">
        <f>756.8*(1000)</f>
        <v>756800</v>
      </c>
      <c r="K18" s="3">
        <f>2241.3*(1000)</f>
        <v>2241300</v>
      </c>
      <c r="L18" s="5">
        <f>0.000002*(1000000)</f>
        <v>2</v>
      </c>
      <c r="M18" s="5">
        <f>0.017111*(1000000)</f>
        <v>17111</v>
      </c>
      <c r="N18" s="5">
        <v>74699</v>
      </c>
      <c r="O18" s="5">
        <f>0.009692*(1000000)</f>
        <v>9692</v>
      </c>
      <c r="P18" s="5">
        <f>0.037157*(1000000)</f>
        <v>37157</v>
      </c>
      <c r="Q18" s="5">
        <f>0.030115*(1000000)</f>
        <v>30115</v>
      </c>
      <c r="R18" s="5">
        <f>0.036061*(1000000)</f>
        <v>36061</v>
      </c>
      <c r="S18" s="5">
        <f>0.016371*(1000000)</f>
        <v>16371</v>
      </c>
      <c r="T18" s="8">
        <v>1084.2</v>
      </c>
      <c r="U18" s="8">
        <v>570</v>
      </c>
      <c r="V18" s="8">
        <v>2275</v>
      </c>
      <c r="W18" s="8">
        <v>379.1</v>
      </c>
      <c r="X18" s="8">
        <v>919.6</v>
      </c>
      <c r="Y18" s="8">
        <v>1352.3</v>
      </c>
    </row>
    <row r="19" spans="1:25" x14ac:dyDescent="0.25">
      <c r="A19" s="7">
        <v>37012</v>
      </c>
      <c r="B19" s="3">
        <f>(245.2*(1))*(1000)</f>
        <v>245200</v>
      </c>
      <c r="C19" s="3">
        <f>(288.4*(1))*(1000)</f>
        <v>288400</v>
      </c>
      <c r="D19" s="3">
        <f>(9542.1*(1))*(1000)</f>
        <v>9542100</v>
      </c>
      <c r="E19" s="3">
        <f>1525.3*(1000)</f>
        <v>1525300</v>
      </c>
      <c r="F19" s="3">
        <f>330.3*(1000)</f>
        <v>330300</v>
      </c>
      <c r="G19" s="3">
        <f>5695*(1000)</f>
        <v>5695000</v>
      </c>
      <c r="H19" s="3">
        <f>1920.7*(1000)</f>
        <v>1920700</v>
      </c>
      <c r="I19" s="3">
        <f>392.3*(1000)</f>
        <v>392300</v>
      </c>
      <c r="J19" s="3">
        <f>758.3*(1000)</f>
        <v>758300</v>
      </c>
      <c r="K19" s="3">
        <f>2238.1*(1000)</f>
        <v>2238100</v>
      </c>
      <c r="L19" s="5">
        <f>0.000007*(1000000)</f>
        <v>7</v>
      </c>
      <c r="M19" s="5">
        <f>0.017106*(1000000)</f>
        <v>17106</v>
      </c>
      <c r="N19" s="5">
        <v>74675</v>
      </c>
      <c r="O19" s="5">
        <f>0.009536*(1000000)</f>
        <v>9536</v>
      </c>
      <c r="P19" s="5">
        <f>0.036426*(1000000)</f>
        <v>36426</v>
      </c>
      <c r="Q19" s="5">
        <f>0.030329*(1000000)</f>
        <v>30329</v>
      </c>
      <c r="R19" s="5">
        <f>0.035693*(1000000)</f>
        <v>35693</v>
      </c>
      <c r="S19" s="5">
        <f>0.016463*(1000000)</f>
        <v>16463</v>
      </c>
      <c r="T19" s="8">
        <v>1085.2</v>
      </c>
      <c r="U19" s="8">
        <v>569.6</v>
      </c>
      <c r="V19" s="8">
        <v>2268.9</v>
      </c>
      <c r="W19" s="8">
        <v>379.7</v>
      </c>
      <c r="X19" s="8">
        <v>920.9</v>
      </c>
      <c r="Y19" s="8">
        <v>1352</v>
      </c>
    </row>
    <row r="20" spans="1:25" x14ac:dyDescent="0.25">
      <c r="A20" s="7">
        <v>37043</v>
      </c>
      <c r="B20" s="3">
        <f>(245.1*(1))*(1000)</f>
        <v>245100</v>
      </c>
      <c r="C20" s="3">
        <f>(288*(1))*(1000)</f>
        <v>288000</v>
      </c>
      <c r="D20" s="3">
        <f>(9537.8*(1))*(1000)</f>
        <v>9537800</v>
      </c>
      <c r="E20" s="3">
        <f>1527.4*(1000)</f>
        <v>1527400</v>
      </c>
      <c r="F20" s="3">
        <f>330.4*(1000)</f>
        <v>330400</v>
      </c>
      <c r="G20" s="3">
        <f>5693.2*(1000)</f>
        <v>5693200</v>
      </c>
      <c r="H20" s="3">
        <f>1919.2*(1000)</f>
        <v>1919200</v>
      </c>
      <c r="I20" s="3">
        <f>392.4*(1000)</f>
        <v>392400</v>
      </c>
      <c r="J20" s="3">
        <f>758.7*(1000)</f>
        <v>758700</v>
      </c>
      <c r="K20" s="3">
        <f>2237*(1000)</f>
        <v>2237000</v>
      </c>
      <c r="L20" s="5">
        <f>0.000005*(1000000)</f>
        <v>5</v>
      </c>
      <c r="M20" s="5">
        <f>0.016571*(1000000)</f>
        <v>16571</v>
      </c>
      <c r="N20" s="5">
        <v>74476</v>
      </c>
      <c r="O20" s="5">
        <f>0.009229*(1000000)</f>
        <v>9229</v>
      </c>
      <c r="P20" s="5">
        <f>0.036468*(1000000)</f>
        <v>36468</v>
      </c>
      <c r="Q20" s="5">
        <f>0.030116*(1000000)</f>
        <v>30116</v>
      </c>
      <c r="R20" s="5">
        <f>0.036057*(1000000)</f>
        <v>36057</v>
      </c>
      <c r="S20" s="5">
        <f>0.01583*(1000000)</f>
        <v>15830</v>
      </c>
      <c r="T20" s="8">
        <v>1083.4000000000001</v>
      </c>
      <c r="U20" s="8">
        <v>568.9</v>
      </c>
      <c r="V20" s="8">
        <v>2268</v>
      </c>
      <c r="W20" s="8">
        <v>378.9</v>
      </c>
      <c r="X20" s="8">
        <v>921.5</v>
      </c>
      <c r="Y20" s="8">
        <v>1348</v>
      </c>
    </row>
    <row r="21" spans="1:25" x14ac:dyDescent="0.25">
      <c r="A21" s="7">
        <v>37073</v>
      </c>
      <c r="B21" s="3">
        <f>(245.8*(1))*(1000)</f>
        <v>245800</v>
      </c>
      <c r="C21" s="3">
        <f>(290.3*(1))*(1000)</f>
        <v>290300</v>
      </c>
      <c r="D21" s="3">
        <f>(9514*(1))*(1000)</f>
        <v>9514000</v>
      </c>
      <c r="E21" s="3">
        <f>1520.1*(1000)</f>
        <v>1520100</v>
      </c>
      <c r="F21" s="3">
        <f>329.1*(1000)</f>
        <v>329100</v>
      </c>
      <c r="G21" s="3">
        <f>5678.7*(1000)</f>
        <v>5678700</v>
      </c>
      <c r="H21" s="3">
        <f>1912.2*(1000)</f>
        <v>1912200</v>
      </c>
      <c r="I21" s="3">
        <f>391.4*(1000)</f>
        <v>391400</v>
      </c>
      <c r="J21" s="3">
        <f>758.5*(1000)</f>
        <v>758500</v>
      </c>
      <c r="K21" s="3">
        <f>2229.6*(1000)</f>
        <v>2229600</v>
      </c>
      <c r="L21" s="5">
        <f>0.000005*(1000000)</f>
        <v>5</v>
      </c>
      <c r="M21" s="5">
        <f>0.016128*(1000000)</f>
        <v>16128</v>
      </c>
      <c r="N21" s="5">
        <v>73919</v>
      </c>
      <c r="O21" s="5">
        <f>0.009368*(1000000)</f>
        <v>9368</v>
      </c>
      <c r="P21" s="5">
        <f>0.036555*(1000000)</f>
        <v>36555</v>
      </c>
      <c r="Q21" s="5">
        <f>0.029924*(1000000)</f>
        <v>29924</v>
      </c>
      <c r="R21" s="5">
        <f>0.035821*(1000000)</f>
        <v>35821</v>
      </c>
      <c r="S21" s="5">
        <f>0.016491*(1000000)</f>
        <v>16491</v>
      </c>
      <c r="T21" s="8">
        <v>1082.3</v>
      </c>
      <c r="U21" s="8">
        <v>568.1</v>
      </c>
      <c r="V21" s="8">
        <v>2269.1</v>
      </c>
      <c r="W21" s="8">
        <v>378.5</v>
      </c>
      <c r="X21" s="8">
        <v>920.4</v>
      </c>
      <c r="Y21" s="8">
        <v>1350.1</v>
      </c>
    </row>
    <row r="22" spans="1:25" x14ac:dyDescent="0.25">
      <c r="A22" s="7">
        <v>37104</v>
      </c>
      <c r="B22" s="3">
        <f>(247.2*(1))*(1000)</f>
        <v>247200</v>
      </c>
      <c r="C22" s="3">
        <f>(291*(1))*(1000)</f>
        <v>291000</v>
      </c>
      <c r="D22" s="3">
        <f>(9519.9*(1))*(1000)</f>
        <v>9519900</v>
      </c>
      <c r="E22" s="3">
        <f>1519.5*(1000)</f>
        <v>1519500</v>
      </c>
      <c r="F22" s="3">
        <f>328.3*(1000)</f>
        <v>328300</v>
      </c>
      <c r="G22" s="3">
        <f>5678.9*(1000)</f>
        <v>5678900</v>
      </c>
      <c r="H22" s="3">
        <f>1914.4*(1000)</f>
        <v>1914400</v>
      </c>
      <c r="I22" s="3">
        <f>391*(1000)</f>
        <v>391000</v>
      </c>
      <c r="J22" s="3">
        <f>758.6*(1000)</f>
        <v>758600</v>
      </c>
      <c r="K22" s="3">
        <f>2225.6*(1000)</f>
        <v>2225600</v>
      </c>
      <c r="L22" s="5">
        <f>0.000005*(1000000)</f>
        <v>5</v>
      </c>
      <c r="M22" s="5">
        <f>0.016697*(1000000)</f>
        <v>16697</v>
      </c>
      <c r="N22" s="5">
        <v>74179</v>
      </c>
      <c r="O22" s="5">
        <f>0.010026*(1000000)</f>
        <v>10026</v>
      </c>
      <c r="P22" s="5">
        <f>0.036578*(1000000)</f>
        <v>36578</v>
      </c>
      <c r="Q22" s="5">
        <f>0.030258*(1000000)</f>
        <v>30258</v>
      </c>
      <c r="R22" s="5">
        <f>0.036785*(1000000)</f>
        <v>36785</v>
      </c>
      <c r="S22" s="5">
        <f>0.016611*(1000000)</f>
        <v>16611</v>
      </c>
      <c r="T22" s="8">
        <v>1081.5999999999999</v>
      </c>
      <c r="U22" s="8">
        <v>569.1</v>
      </c>
      <c r="V22" s="8">
        <v>2267.5</v>
      </c>
      <c r="W22" s="8">
        <v>378.2</v>
      </c>
      <c r="X22" s="8">
        <v>922.7</v>
      </c>
      <c r="Y22" s="8">
        <v>1348.4</v>
      </c>
    </row>
    <row r="23" spans="1:25" x14ac:dyDescent="0.25">
      <c r="A23" s="7">
        <v>37135</v>
      </c>
      <c r="B23" s="3">
        <f>(245.7*(1))*(1000)</f>
        <v>245700</v>
      </c>
      <c r="C23" s="3">
        <f>(290.5*(1))*(1000)</f>
        <v>290500</v>
      </c>
      <c r="D23" s="3">
        <f>(9503.9*(1))*(1000)</f>
        <v>9503900</v>
      </c>
      <c r="E23" s="3">
        <f>1518.6*(1000)</f>
        <v>1518600</v>
      </c>
      <c r="F23" s="3">
        <f>330.1*(1000)</f>
        <v>330100</v>
      </c>
      <c r="G23" s="3">
        <f>5670.5*(1000)</f>
        <v>5670500</v>
      </c>
      <c r="H23" s="3">
        <f>1914.6*(1000)</f>
        <v>1914600</v>
      </c>
      <c r="I23" s="3">
        <f>390.2*(1000)</f>
        <v>390200</v>
      </c>
      <c r="J23" s="3">
        <f>759.1*(1000)</f>
        <v>759100</v>
      </c>
      <c r="K23" s="3">
        <f>2215.7*(1000)</f>
        <v>2215700</v>
      </c>
      <c r="L23" s="5">
        <f>0.000004*(1000000)</f>
        <v>4</v>
      </c>
      <c r="M23" s="5">
        <f>0.016793*(1000000)</f>
        <v>16793</v>
      </c>
      <c r="N23" s="5">
        <v>74177</v>
      </c>
      <c r="O23" s="5">
        <f>0.010118*(1000000)</f>
        <v>10118</v>
      </c>
      <c r="P23" s="5">
        <f>0.035187*(1000000)</f>
        <v>35187</v>
      </c>
      <c r="Q23" s="5">
        <f>0.030982*(1000000)</f>
        <v>30982</v>
      </c>
      <c r="R23" s="5">
        <f>0.036301*(1000000)</f>
        <v>36301</v>
      </c>
      <c r="S23" s="5">
        <f>0.017169*(1000000)</f>
        <v>17169</v>
      </c>
      <c r="T23" s="8">
        <v>1080.5</v>
      </c>
      <c r="U23" s="8">
        <v>567.5</v>
      </c>
      <c r="V23" s="8">
        <v>2267.1</v>
      </c>
      <c r="W23" s="8">
        <v>377.6</v>
      </c>
      <c r="X23" s="8">
        <v>918.4</v>
      </c>
      <c r="Y23" s="8">
        <v>1347.8</v>
      </c>
    </row>
    <row r="24" spans="1:25" x14ac:dyDescent="0.25">
      <c r="A24" s="7">
        <v>37165</v>
      </c>
      <c r="B24" s="3">
        <f>(246.4*(1))*(1000)</f>
        <v>246400</v>
      </c>
      <c r="C24" s="3">
        <f>(290.3*(1))*(1000)</f>
        <v>290300</v>
      </c>
      <c r="D24" s="3">
        <f>(9463.5*(1))*(1000)</f>
        <v>9463500</v>
      </c>
      <c r="E24" s="3">
        <f>1510.6*(1000)</f>
        <v>1510600</v>
      </c>
      <c r="F24" s="3">
        <f>329.9*(1000)</f>
        <v>329900</v>
      </c>
      <c r="G24" s="3">
        <f>5655.6*(1000)</f>
        <v>5655600</v>
      </c>
      <c r="H24" s="3">
        <f>1908.2*(1000)</f>
        <v>1908200</v>
      </c>
      <c r="I24" s="3">
        <f>391*(1000)</f>
        <v>391000</v>
      </c>
      <c r="J24" s="3">
        <f>756.8*(1000)</f>
        <v>756800</v>
      </c>
      <c r="K24" s="3">
        <f>2205.4*(1000)</f>
        <v>2205400</v>
      </c>
      <c r="L24" s="5">
        <f>0.000005*(1000000)</f>
        <v>5</v>
      </c>
      <c r="M24" s="5">
        <f>0.016428*(1000000)</f>
        <v>16428</v>
      </c>
      <c r="N24" s="5">
        <v>74869</v>
      </c>
      <c r="O24" s="5">
        <f>0.009784*(1000000)</f>
        <v>9784</v>
      </c>
      <c r="P24" s="5">
        <f>0.033937*(1000000)</f>
        <v>33937</v>
      </c>
      <c r="Q24" s="5">
        <f>0.03095*(1000000)</f>
        <v>30950</v>
      </c>
      <c r="R24" s="5">
        <f>0.037018*(1000000)</f>
        <v>37018</v>
      </c>
      <c r="S24" s="5">
        <f>0.01836*(1000000)</f>
        <v>18360</v>
      </c>
      <c r="T24" s="8">
        <v>1076.5</v>
      </c>
      <c r="U24" s="8">
        <v>565.4</v>
      </c>
      <c r="V24" s="8">
        <v>2258</v>
      </c>
      <c r="W24" s="8">
        <v>377.4</v>
      </c>
      <c r="X24" s="8">
        <v>917.4</v>
      </c>
      <c r="Y24" s="8">
        <v>1346.5</v>
      </c>
    </row>
    <row r="25" spans="1:25" x14ac:dyDescent="0.25">
      <c r="A25" s="7">
        <v>37196</v>
      </c>
      <c r="B25" s="3">
        <f>(247.6*(1))*(1000)</f>
        <v>247600</v>
      </c>
      <c r="C25" s="3">
        <f>(288.9*(1))*(1000)</f>
        <v>288900</v>
      </c>
      <c r="D25" s="3">
        <f>(9443.8*(1))*(1000)</f>
        <v>9443800</v>
      </c>
      <c r="E25" s="3">
        <f>1514.6*(1000)</f>
        <v>1514600</v>
      </c>
      <c r="F25" s="3">
        <f>329.8*(1000)</f>
        <v>329800</v>
      </c>
      <c r="G25" s="3">
        <f>5650.5*(1000)</f>
        <v>5650500</v>
      </c>
      <c r="H25" s="3">
        <f>1905.8*(1000)</f>
        <v>1905800</v>
      </c>
      <c r="I25" s="3">
        <f>391.3*(1000)</f>
        <v>391300</v>
      </c>
      <c r="J25" s="3">
        <f>757.6*(1000)</f>
        <v>757600</v>
      </c>
      <c r="K25" s="3">
        <f>2195.9*(1000)</f>
        <v>2195900</v>
      </c>
      <c r="L25" s="5">
        <f>0.000005*(1000000)</f>
        <v>5</v>
      </c>
      <c r="M25" s="5">
        <f>0.016749*(1000000)</f>
        <v>16749</v>
      </c>
      <c r="N25" s="5">
        <v>73914</v>
      </c>
      <c r="O25" s="5">
        <f>0.009247*(1000000)</f>
        <v>9247</v>
      </c>
      <c r="P25" s="5">
        <f>0.034021*(1000000)</f>
        <v>34021</v>
      </c>
      <c r="Q25" s="5">
        <f>0.030068*(1000000)</f>
        <v>30068</v>
      </c>
      <c r="R25" s="5">
        <f>0.036316*(1000000)</f>
        <v>36316</v>
      </c>
      <c r="S25" s="5">
        <f>0.019054*(1000000)</f>
        <v>19054</v>
      </c>
      <c r="T25" s="8">
        <v>1074.8</v>
      </c>
      <c r="U25" s="8">
        <v>564.1</v>
      </c>
      <c r="V25" s="8">
        <v>2250.8000000000002</v>
      </c>
      <c r="W25" s="8">
        <v>377.6</v>
      </c>
      <c r="X25" s="8">
        <v>919.8</v>
      </c>
      <c r="Y25" s="8">
        <v>1342.7</v>
      </c>
    </row>
    <row r="26" spans="1:25" x14ac:dyDescent="0.25">
      <c r="A26" s="7">
        <v>37226</v>
      </c>
      <c r="B26" s="3">
        <f>(247.6*(1))*(1000)</f>
        <v>247600</v>
      </c>
      <c r="C26" s="3">
        <f>(288.2*(1))*(1000)</f>
        <v>288200</v>
      </c>
      <c r="D26" s="3">
        <f>(9426*(1))*(1000)</f>
        <v>9426000</v>
      </c>
      <c r="E26" s="3">
        <f>1512.4*(1000)</f>
        <v>1512400</v>
      </c>
      <c r="F26" s="3">
        <f>329.4*(1000)</f>
        <v>329400</v>
      </c>
      <c r="G26" s="3">
        <f>5644.1*(1000)</f>
        <v>5644100</v>
      </c>
      <c r="H26" s="3">
        <f>1902.2*(1000)</f>
        <v>1902200</v>
      </c>
      <c r="I26" s="3">
        <f>391.3*(1000)</f>
        <v>391300</v>
      </c>
      <c r="J26" s="3">
        <f>757.6*(1000)</f>
        <v>757600</v>
      </c>
      <c r="K26" s="3">
        <f>2189.4*(1000)</f>
        <v>2189400</v>
      </c>
      <c r="L26" s="5">
        <f>0.000003*(1000000)</f>
        <v>3</v>
      </c>
      <c r="M26" s="5">
        <f>0.016783*(1000000)</f>
        <v>16783</v>
      </c>
      <c r="N26" s="5">
        <v>75000</v>
      </c>
      <c r="O26" s="5">
        <f>0.009043*(1000000)</f>
        <v>9043</v>
      </c>
      <c r="P26" s="5">
        <f>0.03393*(1000000)</f>
        <v>33930</v>
      </c>
      <c r="Q26" s="5">
        <f>0.030118*(1000000)</f>
        <v>30118</v>
      </c>
      <c r="R26" s="5">
        <f>0.036232*(1000000)</f>
        <v>36232</v>
      </c>
      <c r="S26" s="5">
        <f>0.019146*(1000000)</f>
        <v>19146</v>
      </c>
      <c r="T26" s="8">
        <v>1071</v>
      </c>
      <c r="U26" s="8">
        <v>563.29999999999995</v>
      </c>
      <c r="V26" s="8">
        <v>2246.5</v>
      </c>
      <c r="W26" s="8">
        <v>376.8</v>
      </c>
      <c r="X26" s="8">
        <v>917.6</v>
      </c>
      <c r="Y26" s="8">
        <v>1342</v>
      </c>
    </row>
    <row r="27" spans="1:25" x14ac:dyDescent="0.25">
      <c r="A27" s="7">
        <v>37257</v>
      </c>
      <c r="B27" s="3">
        <f>(247.3*(1))*(1000)</f>
        <v>247300</v>
      </c>
      <c r="C27" s="3">
        <f>(289.5*(1))*(1000)</f>
        <v>289500</v>
      </c>
      <c r="D27" s="3">
        <f>(9418.6*(1))*(1000)</f>
        <v>9418600</v>
      </c>
      <c r="E27" s="3">
        <f>1504.9*(1000)</f>
        <v>1504900</v>
      </c>
      <c r="F27" s="3">
        <f>329.8*(1000)</f>
        <v>329800</v>
      </c>
      <c r="G27" s="3">
        <f>5654.8*(1000)</f>
        <v>5654800</v>
      </c>
      <c r="H27" s="3">
        <f>1896.3*(1000)</f>
        <v>1896300</v>
      </c>
      <c r="I27" s="3">
        <f>393.3*(1000)</f>
        <v>393300</v>
      </c>
      <c r="J27" s="3">
        <f>760.6*(1000)</f>
        <v>760600</v>
      </c>
      <c r="K27" s="3">
        <f>2188.4*(1000)</f>
        <v>2188400</v>
      </c>
      <c r="L27" s="5">
        <f>0.000008*(1000000)</f>
        <v>8</v>
      </c>
      <c r="M27" s="5">
        <f>0.016393*(1000000)</f>
        <v>16393</v>
      </c>
      <c r="N27" s="5">
        <v>75080</v>
      </c>
      <c r="O27" s="5">
        <f>0.008909*(1000000)</f>
        <v>8909</v>
      </c>
      <c r="P27" s="5">
        <f>0.034274*(1000000)</f>
        <v>34274</v>
      </c>
      <c r="Q27" s="5">
        <f>0.029974*(1000000)</f>
        <v>29974</v>
      </c>
      <c r="R27" s="5">
        <f>0.036103*(1000000)</f>
        <v>36103</v>
      </c>
      <c r="S27" s="5">
        <f>0.019064*(1000000)</f>
        <v>19064</v>
      </c>
      <c r="T27" s="8">
        <v>1077.5</v>
      </c>
      <c r="U27" s="8">
        <v>564.29999999999995</v>
      </c>
      <c r="V27" s="8">
        <v>2256.6999999999998</v>
      </c>
      <c r="W27" s="8">
        <v>376.1</v>
      </c>
      <c r="X27" s="8">
        <v>910.2</v>
      </c>
      <c r="Y27" s="8">
        <v>1343</v>
      </c>
    </row>
    <row r="28" spans="1:25" x14ac:dyDescent="0.25">
      <c r="A28" s="7">
        <v>37288</v>
      </c>
      <c r="B28" s="3">
        <f>(247.5*(1))*(1000)</f>
        <v>247500</v>
      </c>
      <c r="C28" s="3">
        <f>(292.4*(1))*(1000)</f>
        <v>292400</v>
      </c>
      <c r="D28" s="3">
        <f>(9412.2*(1))*(1000)</f>
        <v>9412200</v>
      </c>
      <c r="E28" s="3">
        <f>1504.8*(1000)</f>
        <v>1504800</v>
      </c>
      <c r="F28" s="3">
        <f>329.8*(1000)</f>
        <v>329800</v>
      </c>
      <c r="G28" s="3">
        <f>5658.6*(1000)</f>
        <v>5658600</v>
      </c>
      <c r="H28" s="3">
        <f>1893.1*(1000)</f>
        <v>1893100</v>
      </c>
      <c r="I28" s="3">
        <f>393.9*(1000)</f>
        <v>393900</v>
      </c>
      <c r="J28" s="3">
        <f>760.6*(1000)</f>
        <v>760600</v>
      </c>
      <c r="K28" s="3">
        <f>2187.8*(1000)</f>
        <v>2187800</v>
      </c>
      <c r="L28" s="5">
        <f>0.000005*(1000000)</f>
        <v>5</v>
      </c>
      <c r="M28" s="5">
        <f>0.016414*(1000000)</f>
        <v>16414</v>
      </c>
      <c r="N28" s="5">
        <v>74340</v>
      </c>
      <c r="O28" s="5">
        <f>0.008985*(1000000)</f>
        <v>8985</v>
      </c>
      <c r="P28" s="5">
        <f>0.034734*(1000000)</f>
        <v>34734</v>
      </c>
      <c r="Q28" s="5">
        <f>0.029376*(1000000)</f>
        <v>29376</v>
      </c>
      <c r="R28" s="5">
        <f>0.035997*(1000000)</f>
        <v>35997</v>
      </c>
      <c r="S28" s="5">
        <f>0.019175*(1000000)</f>
        <v>19175</v>
      </c>
      <c r="T28" s="8">
        <v>1081.8</v>
      </c>
      <c r="U28" s="8">
        <v>563.70000000000005</v>
      </c>
      <c r="V28" s="8">
        <v>2252</v>
      </c>
      <c r="W28" s="8">
        <v>376.3</v>
      </c>
      <c r="X28" s="8">
        <v>911.1</v>
      </c>
      <c r="Y28" s="8">
        <v>1338.4</v>
      </c>
    </row>
    <row r="29" spans="1:25" x14ac:dyDescent="0.25">
      <c r="A29" s="7">
        <v>37316</v>
      </c>
      <c r="B29" s="3">
        <f>(247.3*(1))*(1000)</f>
        <v>247300</v>
      </c>
      <c r="C29" s="3">
        <f>(293*(1))*(1000)</f>
        <v>293000</v>
      </c>
      <c r="D29" s="3">
        <f>(9420*(1))*(1000)</f>
        <v>9420000</v>
      </c>
      <c r="E29" s="3">
        <f>1504.4*(1000)</f>
        <v>1504400</v>
      </c>
      <c r="F29" s="3">
        <f>328.2*(1000)</f>
        <v>328200</v>
      </c>
      <c r="G29" s="3">
        <f>5655.9*(1000)</f>
        <v>5655900</v>
      </c>
      <c r="H29" s="3">
        <f>1891.9*(1000)</f>
        <v>1891900</v>
      </c>
      <c r="I29" s="3">
        <f>392.4*(1000)</f>
        <v>392400</v>
      </c>
      <c r="J29" s="3">
        <f>762.5*(1000)</f>
        <v>762500</v>
      </c>
      <c r="K29" s="3">
        <f>2185.8*(1000)</f>
        <v>2185800</v>
      </c>
      <c r="L29" s="5">
        <f>0.000005*(1000000)</f>
        <v>5</v>
      </c>
      <c r="M29" s="5">
        <f>0.016195*(1000000)</f>
        <v>16195.000000000002</v>
      </c>
      <c r="N29" s="5">
        <v>73639</v>
      </c>
      <c r="O29" s="5">
        <f>0.008641*(1000000)</f>
        <v>8641</v>
      </c>
      <c r="P29" s="5">
        <f>0.034807*(1000000)</f>
        <v>34807</v>
      </c>
      <c r="Q29" s="5">
        <f>0.029081*(1000000)</f>
        <v>29081</v>
      </c>
      <c r="R29" s="5">
        <f>0.035073*(1000000)</f>
        <v>35073</v>
      </c>
      <c r="S29" s="5">
        <f>0.019193*(1000000)</f>
        <v>19193</v>
      </c>
      <c r="T29" s="8">
        <v>1072.5</v>
      </c>
      <c r="U29" s="8">
        <v>563</v>
      </c>
      <c r="V29" s="8">
        <v>2257.8000000000002</v>
      </c>
      <c r="W29" s="8">
        <v>375.8</v>
      </c>
      <c r="X29" s="8">
        <v>911.2</v>
      </c>
      <c r="Y29" s="8">
        <v>1338.2</v>
      </c>
    </row>
    <row r="30" spans="1:25" x14ac:dyDescent="0.25">
      <c r="A30" s="7">
        <v>37347</v>
      </c>
      <c r="B30" s="3">
        <f>(247.5*(1))*(1000)</f>
        <v>247500</v>
      </c>
      <c r="C30" s="3">
        <f>(293.2*(1))*(1000)</f>
        <v>293200</v>
      </c>
      <c r="D30" s="3">
        <f>(9417.4*(1))*(1000)</f>
        <v>9417400</v>
      </c>
      <c r="E30" s="3">
        <f>1505.5*(1000)</f>
        <v>1505500</v>
      </c>
      <c r="F30" s="3">
        <f>328.8*(1000)</f>
        <v>328800</v>
      </c>
      <c r="G30" s="3">
        <f>5649*(1000)</f>
        <v>5649000</v>
      </c>
      <c r="H30" s="3">
        <f>1898.2*(1000)</f>
        <v>1898200</v>
      </c>
      <c r="I30" s="3">
        <f>394*(1000)</f>
        <v>394000</v>
      </c>
      <c r="J30" s="3">
        <f>764.4*(1000)</f>
        <v>764400</v>
      </c>
      <c r="K30" s="3">
        <f>2192*(1000)</f>
        <v>2192000</v>
      </c>
      <c r="L30" s="5">
        <f>0.000005*(1000000)</f>
        <v>5</v>
      </c>
      <c r="M30" s="5">
        <f>0.016265*(1000000)</f>
        <v>16265.000000000002</v>
      </c>
      <c r="N30" s="5">
        <v>72496</v>
      </c>
      <c r="O30" s="5">
        <f>0.008991*(1000000)</f>
        <v>8991</v>
      </c>
      <c r="P30" s="5">
        <f>0.03626*(1000000)</f>
        <v>36260</v>
      </c>
      <c r="Q30" s="5">
        <f>0.028455*(1000000)</f>
        <v>28455</v>
      </c>
      <c r="R30" s="5">
        <f>0.035115*(1000000)</f>
        <v>35115</v>
      </c>
      <c r="S30" s="5">
        <f>0.019522*(1000000)</f>
        <v>19522</v>
      </c>
      <c r="T30" s="8">
        <v>1073.9000000000001</v>
      </c>
      <c r="U30" s="8">
        <v>566.5</v>
      </c>
      <c r="V30" s="8">
        <v>2268.6999999999998</v>
      </c>
      <c r="W30" s="8">
        <v>376.5</v>
      </c>
      <c r="X30" s="8">
        <v>912.5</v>
      </c>
      <c r="Y30" s="8">
        <v>1341.5</v>
      </c>
    </row>
    <row r="31" spans="1:25" x14ac:dyDescent="0.25">
      <c r="A31" s="7">
        <v>37377</v>
      </c>
      <c r="B31" s="3">
        <f>(248.1*(1))*(1000)</f>
        <v>248100</v>
      </c>
      <c r="C31" s="3">
        <f>(291.9*(1))*(1000)</f>
        <v>291900</v>
      </c>
      <c r="D31" s="3">
        <f>(9426.5*(1))*(1000)</f>
        <v>9426500</v>
      </c>
      <c r="E31" s="3">
        <f>1506.5*(1000)</f>
        <v>1506500</v>
      </c>
      <c r="F31" s="3">
        <f>329.4*(1000)</f>
        <v>329400</v>
      </c>
      <c r="G31" s="3">
        <f>5648.8*(1000)</f>
        <v>5648800</v>
      </c>
      <c r="H31" s="3">
        <f>1897.2*(1000)</f>
        <v>1897200</v>
      </c>
      <c r="I31" s="3">
        <f>394.8*(1000)</f>
        <v>394800</v>
      </c>
      <c r="J31" s="3">
        <f>765.7*(1000)</f>
        <v>765700</v>
      </c>
      <c r="K31" s="3">
        <f>2194.4*(1000)</f>
        <v>2194400</v>
      </c>
      <c r="L31" s="5">
        <f>0.000008*(1000000)</f>
        <v>8</v>
      </c>
      <c r="M31" s="5">
        <f>0.016433*(1000000)</f>
        <v>16433</v>
      </c>
      <c r="N31" s="5">
        <v>71904</v>
      </c>
      <c r="O31" s="5">
        <f>0.008637*(1000000)</f>
        <v>8637</v>
      </c>
      <c r="P31" s="5">
        <f>0.037846*(1000000)</f>
        <v>37846</v>
      </c>
      <c r="Q31" s="5">
        <f>0.028247*(1000000)</f>
        <v>28247</v>
      </c>
      <c r="R31" s="5">
        <f>0.035285*(1000000)</f>
        <v>35285</v>
      </c>
      <c r="S31" s="5">
        <f>0.019677*(1000000)</f>
        <v>19677</v>
      </c>
      <c r="T31" s="8">
        <v>1070.7</v>
      </c>
      <c r="U31" s="8">
        <v>567.70000000000005</v>
      </c>
      <c r="V31" s="8">
        <v>2267.1999999999998</v>
      </c>
      <c r="W31" s="8">
        <v>377.5</v>
      </c>
      <c r="X31" s="8">
        <v>911.8</v>
      </c>
      <c r="Y31" s="8">
        <v>1340.1</v>
      </c>
    </row>
    <row r="32" spans="1:25" x14ac:dyDescent="0.25">
      <c r="A32" s="7">
        <v>37408</v>
      </c>
      <c r="B32" s="3">
        <f>(247.8*(1))*(1000)</f>
        <v>247800</v>
      </c>
      <c r="C32" s="3">
        <f>(293.3*(1))*(1000)</f>
        <v>293300</v>
      </c>
      <c r="D32" s="3">
        <f>(9420*(1))*(1000)</f>
        <v>9420000</v>
      </c>
      <c r="E32" s="3">
        <f>1504.3*(1000)</f>
        <v>1504300</v>
      </c>
      <c r="F32" s="3">
        <f>330.4*(1000)</f>
        <v>330400</v>
      </c>
      <c r="G32" s="3">
        <f>5652.4*(1000)</f>
        <v>5652400</v>
      </c>
      <c r="H32" s="3">
        <f>1898.3*(1000)</f>
        <v>1898300</v>
      </c>
      <c r="I32" s="3">
        <f>397.6*(1000)</f>
        <v>397600</v>
      </c>
      <c r="J32" s="3">
        <f>767.2*(1000)</f>
        <v>767200</v>
      </c>
      <c r="K32" s="3">
        <f>2191.7*(1000)</f>
        <v>2191700</v>
      </c>
      <c r="L32" s="5">
        <f>0.000004*(1000000)</f>
        <v>4</v>
      </c>
      <c r="M32" s="5">
        <f>0.016217*(1000000)</f>
        <v>16216.999999999998</v>
      </c>
      <c r="N32" s="5">
        <v>69709</v>
      </c>
      <c r="O32" s="5">
        <f>0.008326*(1000000)</f>
        <v>8326</v>
      </c>
      <c r="P32" s="5">
        <f>0.037335*(1000000)</f>
        <v>37335</v>
      </c>
      <c r="Q32" s="5">
        <f>0.027803*(1000000)</f>
        <v>27803</v>
      </c>
      <c r="R32" s="5">
        <f>0.034915*(1000000)</f>
        <v>34915</v>
      </c>
      <c r="S32" s="5">
        <f>0.018593*(1000000)</f>
        <v>18593</v>
      </c>
      <c r="T32" s="8">
        <v>1070.2</v>
      </c>
      <c r="U32" s="8">
        <v>568.79999999999995</v>
      </c>
      <c r="V32" s="8">
        <v>2270.6999999999998</v>
      </c>
      <c r="W32" s="8">
        <v>378.1</v>
      </c>
      <c r="X32" s="8">
        <v>912.4</v>
      </c>
      <c r="Y32" s="8">
        <v>1340.4</v>
      </c>
    </row>
    <row r="33" spans="1:25" x14ac:dyDescent="0.25">
      <c r="A33" s="7">
        <v>37438</v>
      </c>
      <c r="B33" s="3">
        <f>(248.3*(1))*(1000)</f>
        <v>248300</v>
      </c>
      <c r="C33" s="3">
        <f>(293.7*(1))*(1000)</f>
        <v>293700</v>
      </c>
      <c r="D33" s="3">
        <f>(9405.3*(1))*(1000)</f>
        <v>9405300</v>
      </c>
      <c r="E33" s="3">
        <f>1500.4*(1000)</f>
        <v>1500400</v>
      </c>
      <c r="F33" s="3">
        <f>329.8*(1000)</f>
        <v>329800</v>
      </c>
      <c r="G33" s="3">
        <f>5641.3*(1000)</f>
        <v>5641300</v>
      </c>
      <c r="H33" s="3">
        <f>1896*(1000)</f>
        <v>1896000</v>
      </c>
      <c r="I33" s="3">
        <f>395.7*(1000)</f>
        <v>395700</v>
      </c>
      <c r="J33" s="3">
        <f>767.7*(1000)</f>
        <v>767700</v>
      </c>
      <c r="K33" s="3">
        <f>2183.7*(1000)</f>
        <v>2183700</v>
      </c>
      <c r="L33" s="5">
        <f>0.000004*(1000000)</f>
        <v>4</v>
      </c>
      <c r="M33" s="5">
        <f>0.016173*(1000000)</f>
        <v>16173</v>
      </c>
      <c r="N33" s="5">
        <v>68995</v>
      </c>
      <c r="O33" s="5">
        <f>0.008152*(1000000)</f>
        <v>8151.9999999999991</v>
      </c>
      <c r="P33" s="5">
        <f>0.035687*(1000000)</f>
        <v>35687</v>
      </c>
      <c r="Q33" s="5">
        <f>0.028502*(1000000)</f>
        <v>28502</v>
      </c>
      <c r="R33" s="5">
        <f>0.034663*(1000000)</f>
        <v>34663</v>
      </c>
      <c r="S33" s="5">
        <f>0.01802*(1000000)</f>
        <v>18020</v>
      </c>
      <c r="T33" s="8">
        <v>1072.9000000000001</v>
      </c>
      <c r="U33" s="8">
        <v>569.9</v>
      </c>
      <c r="V33" s="8">
        <v>2265.1</v>
      </c>
      <c r="W33" s="8">
        <v>378.2</v>
      </c>
      <c r="X33" s="8">
        <v>911.1</v>
      </c>
      <c r="Y33" s="8">
        <v>1338.9</v>
      </c>
    </row>
    <row r="34" spans="1:25" x14ac:dyDescent="0.25">
      <c r="A34" s="7">
        <v>37469</v>
      </c>
      <c r="B34" s="3">
        <f>(247.9*(1))*(1000)</f>
        <v>247900</v>
      </c>
      <c r="C34" s="3">
        <f>(294.5*(1))*(1000)</f>
        <v>294500</v>
      </c>
      <c r="D34" s="3">
        <f>(9413.6*(1))*(1000)</f>
        <v>9413600</v>
      </c>
      <c r="E34" s="3">
        <f>1500.7*(1000)</f>
        <v>1500700</v>
      </c>
      <c r="F34" s="3">
        <f>330.1*(1000)</f>
        <v>330100</v>
      </c>
      <c r="G34" s="3">
        <f>5639.5*(1000)</f>
        <v>5639500</v>
      </c>
      <c r="H34" s="3">
        <f>1896.7*(1000)</f>
        <v>1896700</v>
      </c>
      <c r="I34" s="3">
        <f>395.3*(1000)</f>
        <v>395300</v>
      </c>
      <c r="J34" s="3">
        <f>767.9*(1000)</f>
        <v>767900</v>
      </c>
      <c r="K34" s="3">
        <f>2185.1*(1000)</f>
        <v>2185100</v>
      </c>
      <c r="L34" s="5">
        <f>0.000003*(1000000)</f>
        <v>3</v>
      </c>
      <c r="M34" s="5">
        <f>0.016094*(1000000)</f>
        <v>16094</v>
      </c>
      <c r="N34" s="5">
        <v>68485</v>
      </c>
      <c r="O34" s="5">
        <f>0.00779*(1000000)</f>
        <v>7790</v>
      </c>
      <c r="P34" s="5">
        <f>0.036165*(1000000)</f>
        <v>36165</v>
      </c>
      <c r="Q34" s="5">
        <f>0.028606*(1000000)</f>
        <v>28606</v>
      </c>
      <c r="R34" s="5">
        <f>0.034275*(1000000)</f>
        <v>34275</v>
      </c>
      <c r="S34" s="5">
        <f>0.019324*(1000000)</f>
        <v>19324</v>
      </c>
      <c r="T34" s="8">
        <v>1070.7</v>
      </c>
      <c r="U34" s="8">
        <v>568.9</v>
      </c>
      <c r="V34" s="8">
        <v>2269.1999999999998</v>
      </c>
      <c r="W34" s="8">
        <v>378.3</v>
      </c>
      <c r="X34" s="8">
        <v>910.4</v>
      </c>
      <c r="Y34" s="8">
        <v>1339.9</v>
      </c>
    </row>
    <row r="35" spans="1:25" x14ac:dyDescent="0.25">
      <c r="A35" s="7">
        <v>37500</v>
      </c>
      <c r="B35" s="3">
        <f>(248.7*(1))*(1000)</f>
        <v>248700</v>
      </c>
      <c r="C35" s="3">
        <f>(294.8*(1))*(1000)</f>
        <v>294800</v>
      </c>
      <c r="D35" s="3">
        <f>(9421.7*(1))*(1000)</f>
        <v>9421700</v>
      </c>
      <c r="E35" s="3">
        <f>1495.1*(1000)</f>
        <v>1495100</v>
      </c>
      <c r="F35" s="3">
        <f>330.2*(1000)</f>
        <v>330200</v>
      </c>
      <c r="G35" s="3">
        <f>5641.3*(1000)</f>
        <v>5641300</v>
      </c>
      <c r="H35" s="3">
        <f>1897.4*(1000)</f>
        <v>1897400</v>
      </c>
      <c r="I35" s="3">
        <f>397.1*(1000)</f>
        <v>397100</v>
      </c>
      <c r="J35" s="3">
        <f>769.7*(1000)</f>
        <v>769700</v>
      </c>
      <c r="K35" s="3">
        <f>2179*(1000)</f>
        <v>2179000</v>
      </c>
      <c r="L35" s="5">
        <f>0.000005*(1000000)</f>
        <v>5</v>
      </c>
      <c r="M35" s="5">
        <f>0.016551*(1000000)</f>
        <v>16551</v>
      </c>
      <c r="N35" s="5">
        <v>69007</v>
      </c>
      <c r="O35" s="5">
        <f>0.008157*(1000000)</f>
        <v>8156.9999999999991</v>
      </c>
      <c r="P35" s="5">
        <f>0.037153*(1000000)</f>
        <v>37153</v>
      </c>
      <c r="Q35" s="5">
        <f>0.028746*(1000000)</f>
        <v>28746</v>
      </c>
      <c r="R35" s="5">
        <f>0.034202*(1000000)</f>
        <v>34202</v>
      </c>
      <c r="S35" s="5">
        <f>0.02002*(1000000)</f>
        <v>20020</v>
      </c>
      <c r="T35" s="8">
        <v>1071.8</v>
      </c>
      <c r="U35" s="8">
        <v>569.29999999999995</v>
      </c>
      <c r="V35" s="8">
        <v>2267.3000000000002</v>
      </c>
      <c r="W35" s="8">
        <v>378.4</v>
      </c>
      <c r="X35" s="8">
        <v>910.2</v>
      </c>
      <c r="Y35" s="8">
        <v>1335.7</v>
      </c>
    </row>
    <row r="36" spans="1:25" x14ac:dyDescent="0.25">
      <c r="A36" s="7">
        <v>37530</v>
      </c>
      <c r="B36" s="3">
        <f>(248.2*(1))*(1000)</f>
        <v>248200</v>
      </c>
      <c r="C36" s="3">
        <f>(296.6*(1))*(1000)</f>
        <v>296600</v>
      </c>
      <c r="D36" s="3">
        <f>(9404.2*(1))*(1000)</f>
        <v>9404200</v>
      </c>
      <c r="E36" s="3">
        <f>1489.9*(1000)</f>
        <v>1489900</v>
      </c>
      <c r="F36" s="3">
        <f>330.3*(1000)</f>
        <v>330300</v>
      </c>
      <c r="G36" s="3">
        <f>5640.3*(1000)</f>
        <v>5640300</v>
      </c>
      <c r="H36" s="3">
        <f>1894.3*(1000)</f>
        <v>1894300</v>
      </c>
      <c r="I36" s="3">
        <f>397.4*(1000)</f>
        <v>397400</v>
      </c>
      <c r="J36" s="3">
        <f>767.4*(1000)</f>
        <v>767400</v>
      </c>
      <c r="K36" s="3">
        <f>2177.1*(1000)</f>
        <v>2177100</v>
      </c>
      <c r="L36" s="5">
        <f>0.000005*(1000000)</f>
        <v>5</v>
      </c>
      <c r="M36" s="5">
        <f>0.017162*(1000000)</f>
        <v>17162</v>
      </c>
      <c r="N36" s="5">
        <v>69346</v>
      </c>
      <c r="O36" s="5">
        <f>0.008051*(1000000)</f>
        <v>8051.0000000000009</v>
      </c>
      <c r="P36" s="5">
        <f>0.037165*(1000000)</f>
        <v>37165</v>
      </c>
      <c r="Q36" s="5">
        <f>0.028868*(1000000)</f>
        <v>28868</v>
      </c>
      <c r="R36" s="5">
        <f>0.033733*(1000000)</f>
        <v>33733</v>
      </c>
      <c r="S36" s="5">
        <f>0.01972*(1000000)</f>
        <v>19720</v>
      </c>
      <c r="T36" s="8">
        <v>1072.9000000000001</v>
      </c>
      <c r="U36" s="8">
        <v>572.20000000000005</v>
      </c>
      <c r="V36" s="8">
        <v>2270.6</v>
      </c>
      <c r="W36" s="8">
        <v>378.9</v>
      </c>
      <c r="X36" s="8">
        <v>911.2</v>
      </c>
      <c r="Y36" s="8">
        <v>1327.2</v>
      </c>
    </row>
    <row r="37" spans="1:25" x14ac:dyDescent="0.25">
      <c r="A37" s="7">
        <v>37561</v>
      </c>
      <c r="B37" s="3">
        <f>(248.5*(1))*(1000)</f>
        <v>248500</v>
      </c>
      <c r="C37" s="3">
        <f>(296.7*(1))*(1000)</f>
        <v>296700</v>
      </c>
      <c r="D37" s="3">
        <f>(9406.1*(1))*(1000)</f>
        <v>9406100</v>
      </c>
      <c r="E37" s="3">
        <f>1489.1*(1000)</f>
        <v>1489100</v>
      </c>
      <c r="F37" s="3">
        <f>331*(1000)</f>
        <v>331000</v>
      </c>
      <c r="G37" s="3">
        <f>5634.4*(1000)</f>
        <v>5634400</v>
      </c>
      <c r="H37" s="3">
        <f>1897.8*(1000)</f>
        <v>1897800</v>
      </c>
      <c r="I37" s="3">
        <f>398.7*(1000)</f>
        <v>398700</v>
      </c>
      <c r="J37" s="3">
        <f>769.7*(1000)</f>
        <v>769700</v>
      </c>
      <c r="K37" s="3">
        <f>2175.5*(1000)</f>
        <v>2175500</v>
      </c>
      <c r="L37" s="5">
        <f>0.000003*(1000000)</f>
        <v>3</v>
      </c>
      <c r="M37" s="5">
        <f>0.017697*(1000000)</f>
        <v>17697</v>
      </c>
      <c r="N37" s="5">
        <v>70308</v>
      </c>
      <c r="O37" s="5">
        <f>0.008036*(1000000)</f>
        <v>8036</v>
      </c>
      <c r="P37" s="5">
        <f>0.039583*(1000000)</f>
        <v>39583</v>
      </c>
      <c r="Q37" s="5">
        <f>0.029104*(1000000)</f>
        <v>29104</v>
      </c>
      <c r="R37" s="5">
        <f>0.03317*(1000000)</f>
        <v>33170</v>
      </c>
      <c r="S37" s="5">
        <f>0.019998*(1000000)</f>
        <v>19998</v>
      </c>
      <c r="T37" s="8">
        <v>1074</v>
      </c>
      <c r="U37" s="8">
        <v>572.79999999999995</v>
      </c>
      <c r="V37" s="8">
        <v>2285.3000000000002</v>
      </c>
      <c r="W37" s="8">
        <v>378.4</v>
      </c>
      <c r="X37" s="8">
        <v>909.9</v>
      </c>
      <c r="Y37" s="8">
        <v>1328.1</v>
      </c>
    </row>
    <row r="38" spans="1:25" x14ac:dyDescent="0.25">
      <c r="A38" s="7">
        <v>37591</v>
      </c>
      <c r="B38" s="3">
        <f>(248.4*(1))*(1000)</f>
        <v>248400</v>
      </c>
      <c r="C38" s="3">
        <f>(297.7*(1))*(1000)</f>
        <v>297700</v>
      </c>
      <c r="D38" s="3">
        <f>(9398*(1))*(1000)</f>
        <v>9398000</v>
      </c>
      <c r="E38" s="3">
        <f>1487.6*(1000)</f>
        <v>1487600</v>
      </c>
      <c r="F38" s="3">
        <f>331.7*(1000)</f>
        <v>331700</v>
      </c>
      <c r="G38" s="3">
        <f>5620.7*(1000)</f>
        <v>5620700</v>
      </c>
      <c r="H38" s="3">
        <f>1894.9*(1000)</f>
        <v>1894900</v>
      </c>
      <c r="I38" s="3">
        <f>399.8*(1000)</f>
        <v>399800</v>
      </c>
      <c r="J38" s="3">
        <f>771*(1000)</f>
        <v>771000</v>
      </c>
      <c r="K38" s="3">
        <f>2175.6*(1000)</f>
        <v>2175600</v>
      </c>
      <c r="L38" s="5">
        <f>0.000002*(1000000)</f>
        <v>2</v>
      </c>
      <c r="M38" s="5">
        <f>0.017744*(1000000)</f>
        <v>17744</v>
      </c>
      <c r="N38" s="5">
        <v>70530</v>
      </c>
      <c r="O38" s="5">
        <f>0.007543*(1000000)</f>
        <v>7543</v>
      </c>
      <c r="P38" s="5">
        <f>0.039277*(1000000)</f>
        <v>39277</v>
      </c>
      <c r="Q38" s="5">
        <f>0.029562*(1000000)</f>
        <v>29562</v>
      </c>
      <c r="R38" s="5">
        <f>0.032897*(1000000)</f>
        <v>32897</v>
      </c>
      <c r="S38" s="5">
        <f>0.020724*(1000000)</f>
        <v>20724</v>
      </c>
      <c r="T38" s="8">
        <v>1072.0999999999999</v>
      </c>
      <c r="U38" s="8">
        <v>573</v>
      </c>
      <c r="V38" s="8">
        <v>2278.1</v>
      </c>
      <c r="W38" s="8">
        <v>378.7</v>
      </c>
      <c r="X38" s="8">
        <v>911.1</v>
      </c>
      <c r="Y38" s="8">
        <v>1326</v>
      </c>
    </row>
    <row r="39" spans="1:25" x14ac:dyDescent="0.25">
      <c r="A39" s="7">
        <v>37622</v>
      </c>
      <c r="B39" s="3">
        <f>(248.1*(1))*(1000)</f>
        <v>248100</v>
      </c>
      <c r="C39" s="3">
        <f>(295.7*(1))*(1000)</f>
        <v>295700</v>
      </c>
      <c r="D39" s="3">
        <f>(9391.5*(1))*(1000)</f>
        <v>9391500</v>
      </c>
      <c r="E39" s="3">
        <f>1483.8*(1000)</f>
        <v>1483800</v>
      </c>
      <c r="F39" s="3">
        <f>331.3*(1000)</f>
        <v>331300</v>
      </c>
      <c r="G39" s="3">
        <f>5627.3*(1000)</f>
        <v>5627300</v>
      </c>
      <c r="H39" s="3">
        <f>1905.9*(1000)</f>
        <v>1905900</v>
      </c>
      <c r="I39" s="3">
        <f>399.2*(1000)</f>
        <v>399200</v>
      </c>
      <c r="J39" s="3">
        <f>772.1*(1000)</f>
        <v>772100</v>
      </c>
      <c r="K39" s="3">
        <f>2167.1*(1000)</f>
        <v>2167100</v>
      </c>
      <c r="L39" s="5">
        <f>0.000004*(1000000)</f>
        <v>4</v>
      </c>
      <c r="M39" s="5">
        <f>0.018174*(1000000)</f>
        <v>18174</v>
      </c>
      <c r="N39" s="5">
        <v>71511</v>
      </c>
      <c r="O39" s="5">
        <f>0.007525*(1000000)</f>
        <v>7525</v>
      </c>
      <c r="P39" s="5">
        <f>0.038036*(1000000)</f>
        <v>38036</v>
      </c>
      <c r="Q39" s="5">
        <f>0.02953*(1000000)</f>
        <v>29530</v>
      </c>
      <c r="R39" s="5">
        <f>0.032943*(1000000)</f>
        <v>32943</v>
      </c>
      <c r="S39" s="5">
        <f>0.020517*(1000000)</f>
        <v>20517</v>
      </c>
      <c r="T39" s="8">
        <v>1073.2</v>
      </c>
      <c r="U39" s="8">
        <v>574.1</v>
      </c>
      <c r="V39" s="8">
        <v>2280.4</v>
      </c>
      <c r="W39" s="8">
        <v>378.6</v>
      </c>
      <c r="X39" s="8">
        <v>915.7</v>
      </c>
      <c r="Y39" s="8">
        <v>1322.9</v>
      </c>
    </row>
    <row r="40" spans="1:25" x14ac:dyDescent="0.25">
      <c r="A40" s="7">
        <v>37653</v>
      </c>
      <c r="B40" s="3">
        <f>(247.9*(1))*(1000)</f>
        <v>247900</v>
      </c>
      <c r="C40" s="3">
        <f>(297.2*(1))*(1000)</f>
        <v>297200</v>
      </c>
      <c r="D40" s="3">
        <f>(9381.2*(1))*(1000)</f>
        <v>9381200</v>
      </c>
      <c r="E40" s="3">
        <f>1480.1*(1000)</f>
        <v>1480100</v>
      </c>
      <c r="F40" s="3">
        <f>331.4*(1000)</f>
        <v>331400</v>
      </c>
      <c r="G40" s="3">
        <f>5614.4*(1000)</f>
        <v>5614400</v>
      </c>
      <c r="H40" s="3">
        <f>1904.9*(1000)</f>
        <v>1904900</v>
      </c>
      <c r="I40" s="3">
        <f>399.3*(1000)</f>
        <v>399300</v>
      </c>
      <c r="J40" s="3">
        <f>772.1*(1000)</f>
        <v>772100</v>
      </c>
      <c r="K40" s="3">
        <f>2162*(1000)</f>
        <v>2162000</v>
      </c>
      <c r="L40" s="5">
        <f>0.000003*(1000000)</f>
        <v>3</v>
      </c>
      <c r="M40" s="5">
        <f>0.018863*(1000000)</f>
        <v>18863</v>
      </c>
      <c r="N40" s="5">
        <v>71945</v>
      </c>
      <c r="O40" s="5">
        <f>0.007408*(1000000)</f>
        <v>7408</v>
      </c>
      <c r="P40" s="5">
        <f>0.03755*(1000000)</f>
        <v>37550</v>
      </c>
      <c r="Q40" s="5">
        <f>0.029697*(1000000)</f>
        <v>29697</v>
      </c>
      <c r="R40" s="5">
        <f>0.032183*(1000000)</f>
        <v>32183.000000000004</v>
      </c>
      <c r="S40" s="5">
        <f>0.02083*(1000000)</f>
        <v>20830</v>
      </c>
      <c r="T40" s="8">
        <v>1071.3</v>
      </c>
      <c r="U40" s="8">
        <v>571.70000000000005</v>
      </c>
      <c r="V40" s="8">
        <v>2281.5</v>
      </c>
      <c r="W40" s="8">
        <v>377.8</v>
      </c>
      <c r="X40" s="8">
        <v>914</v>
      </c>
      <c r="Y40" s="8">
        <v>1320.1</v>
      </c>
    </row>
    <row r="41" spans="1:25" x14ac:dyDescent="0.25">
      <c r="A41" s="7">
        <v>37681</v>
      </c>
      <c r="B41" s="3">
        <f>(246.9*(1))*(1000)</f>
        <v>246900</v>
      </c>
      <c r="C41" s="3">
        <f>(297.7*(1))*(1000)</f>
        <v>297700</v>
      </c>
      <c r="D41" s="3">
        <f>(9363.5*(1))*(1000)</f>
        <v>9363500</v>
      </c>
      <c r="E41" s="3">
        <f>1471.7*(1000)</f>
        <v>1471700</v>
      </c>
      <c r="F41" s="3">
        <f>331.5*(1000)</f>
        <v>331500</v>
      </c>
      <c r="G41" s="3">
        <f>5613*(1000)</f>
        <v>5613000</v>
      </c>
      <c r="H41" s="3">
        <f>1899.8*(1000)</f>
        <v>1899800</v>
      </c>
      <c r="I41" s="3">
        <f>397.3*(1000)</f>
        <v>397300</v>
      </c>
      <c r="J41" s="3">
        <f>771.7*(1000)</f>
        <v>771700</v>
      </c>
      <c r="K41" s="3">
        <f>2153*(1000)</f>
        <v>2153000</v>
      </c>
      <c r="L41" s="5">
        <f>0.000005*(1000000)</f>
        <v>5</v>
      </c>
      <c r="M41" s="5">
        <f>0.018406*(1000000)</f>
        <v>18406</v>
      </c>
      <c r="N41" s="5">
        <v>71855</v>
      </c>
      <c r="O41" s="5">
        <f>0.008009*(1000000)</f>
        <v>8009.0000000000009</v>
      </c>
      <c r="P41" s="5">
        <f>0.036666*(1000000)</f>
        <v>36666</v>
      </c>
      <c r="Q41" s="5">
        <f>0.029639*(1000000)</f>
        <v>29639</v>
      </c>
      <c r="R41" s="5">
        <f>0.031732*(1000000)</f>
        <v>31732.000000000004</v>
      </c>
      <c r="S41" s="5">
        <f>0.021179*(1000000)</f>
        <v>21179</v>
      </c>
      <c r="T41" s="8">
        <v>1068.8</v>
      </c>
      <c r="U41" s="8">
        <v>570.70000000000005</v>
      </c>
      <c r="V41" s="8">
        <v>2283.4</v>
      </c>
      <c r="W41" s="8">
        <v>377.4</v>
      </c>
      <c r="X41" s="8">
        <v>911.5</v>
      </c>
      <c r="Y41" s="8">
        <v>1313.7</v>
      </c>
    </row>
    <row r="42" spans="1:25" x14ac:dyDescent="0.25">
      <c r="A42" s="7">
        <v>37712</v>
      </c>
      <c r="B42" s="3">
        <f>(248.1*(1))*(1000)</f>
        <v>248100</v>
      </c>
      <c r="C42" s="3">
        <f>(296.4*(1))*(1000)</f>
        <v>296400</v>
      </c>
      <c r="D42" s="3">
        <f>(9364.7*(1))*(1000)</f>
        <v>9364700</v>
      </c>
      <c r="E42" s="3">
        <f>1470.2*(1000)</f>
        <v>1470200</v>
      </c>
      <c r="F42" s="3">
        <f>331.7*(1000)</f>
        <v>331700</v>
      </c>
      <c r="G42" s="3">
        <f>5610.8*(1000)</f>
        <v>5610800</v>
      </c>
      <c r="H42" s="3">
        <f>1901.3*(1000)</f>
        <v>1901300</v>
      </c>
      <c r="I42" s="3">
        <f>400.1*(1000)</f>
        <v>400100</v>
      </c>
      <c r="J42" s="3">
        <f>772.6*(1000)</f>
        <v>772600</v>
      </c>
      <c r="K42" s="3">
        <f>2148.6*(1000)</f>
        <v>2148600</v>
      </c>
      <c r="L42" s="5">
        <f>0.000001*(1000000)</f>
        <v>1</v>
      </c>
      <c r="M42" s="5">
        <f>0.018493*(1000000)</f>
        <v>18493</v>
      </c>
      <c r="N42" s="5">
        <v>71279</v>
      </c>
      <c r="O42" s="5">
        <f>0.008986*(1000000)</f>
        <v>8986</v>
      </c>
      <c r="P42" s="5">
        <f>0.03515*(1000000)</f>
        <v>35150</v>
      </c>
      <c r="Q42" s="5">
        <f>0.029645*(1000000)</f>
        <v>29645</v>
      </c>
      <c r="R42" s="5">
        <f>0.031653*(1000000)</f>
        <v>31653</v>
      </c>
      <c r="S42" s="5">
        <f>0.02153*(1000000)</f>
        <v>21530</v>
      </c>
      <c r="T42" s="8">
        <v>1069.4000000000001</v>
      </c>
      <c r="U42" s="8">
        <v>568.9</v>
      </c>
      <c r="V42" s="8">
        <v>2287.1999999999998</v>
      </c>
      <c r="W42" s="8">
        <v>378</v>
      </c>
      <c r="X42" s="8">
        <v>915.4</v>
      </c>
      <c r="Y42" s="8">
        <v>1312.7</v>
      </c>
    </row>
    <row r="43" spans="1:25" x14ac:dyDescent="0.25">
      <c r="A43" s="7">
        <v>37742</v>
      </c>
      <c r="B43" s="3">
        <f>(248.7*(1))*(1000)</f>
        <v>248700</v>
      </c>
      <c r="C43" s="3">
        <f>(298*(1))*(1000)</f>
        <v>298000</v>
      </c>
      <c r="D43" s="3">
        <f>(9356.6*(1))*(1000)</f>
        <v>9356600</v>
      </c>
      <c r="E43" s="3">
        <f>1468.3*(1000)</f>
        <v>1468300</v>
      </c>
      <c r="F43" s="3">
        <f>332.3*(1000)</f>
        <v>332300</v>
      </c>
      <c r="G43" s="3">
        <f>5615*(1000)</f>
        <v>5615000</v>
      </c>
      <c r="H43" s="3">
        <f>1903.8*(1000)</f>
        <v>1903800</v>
      </c>
      <c r="I43" s="3">
        <f>399.8*(1000)</f>
        <v>399800</v>
      </c>
      <c r="J43" s="3">
        <f>773.1*(1000)</f>
        <v>773100</v>
      </c>
      <c r="K43" s="3">
        <f>2148.4*(1000)</f>
        <v>2148400</v>
      </c>
      <c r="L43" s="5">
        <f>0*(1000000)</f>
        <v>0</v>
      </c>
      <c r="M43" s="5">
        <f>0.018383*(1000000)</f>
        <v>18383</v>
      </c>
      <c r="N43" s="5">
        <v>69788</v>
      </c>
      <c r="O43" s="5">
        <f>0.008652*(1000000)</f>
        <v>8652</v>
      </c>
      <c r="P43" s="5">
        <f>0.035549*(1000000)</f>
        <v>35549</v>
      </c>
      <c r="Q43" s="5">
        <f>0.029262*(1000000)</f>
        <v>29262</v>
      </c>
      <c r="R43" s="5">
        <f>0.031554*(1000000)</f>
        <v>31554</v>
      </c>
      <c r="S43" s="5">
        <f>0.02163*(1000000)</f>
        <v>21630</v>
      </c>
      <c r="T43" s="8">
        <v>1068.2</v>
      </c>
      <c r="U43" s="8">
        <v>569.5</v>
      </c>
      <c r="V43" s="8">
        <v>2290.6</v>
      </c>
      <c r="W43" s="8">
        <v>377.5</v>
      </c>
      <c r="X43" s="8">
        <v>914</v>
      </c>
      <c r="Y43" s="8">
        <v>1313.4</v>
      </c>
    </row>
    <row r="44" spans="1:25" x14ac:dyDescent="0.25">
      <c r="A44" s="7">
        <v>37773</v>
      </c>
      <c r="B44" s="3">
        <f>(250.1*(1))*(1000)</f>
        <v>250100</v>
      </c>
      <c r="C44" s="3">
        <f>(298.8*(1))*(1000)</f>
        <v>298800</v>
      </c>
      <c r="D44" s="3">
        <f>(9349.5*(1))*(1000)</f>
        <v>9349500</v>
      </c>
      <c r="E44" s="3">
        <f>1464.1*(1000)</f>
        <v>1464100</v>
      </c>
      <c r="F44" s="3">
        <f>332.1*(1000)</f>
        <v>332100</v>
      </c>
      <c r="G44" s="3">
        <f>5616.7*(1000)</f>
        <v>5616700</v>
      </c>
      <c r="H44" s="3">
        <f>1902.9*(1000)</f>
        <v>1902900</v>
      </c>
      <c r="I44" s="3">
        <f>399.6*(1000)</f>
        <v>399600</v>
      </c>
      <c r="J44" s="3">
        <f>774.7*(1000)</f>
        <v>774700</v>
      </c>
      <c r="K44" s="3">
        <f>2146.5*(1000)</f>
        <v>2146500</v>
      </c>
      <c r="L44" s="5">
        <f>0.000001*(1000000)</f>
        <v>1</v>
      </c>
      <c r="M44" s="5">
        <f>0.018367*(1000000)</f>
        <v>18367</v>
      </c>
      <c r="N44" s="5">
        <v>69375</v>
      </c>
      <c r="O44" s="5">
        <f>0.008599*(1000000)</f>
        <v>8599</v>
      </c>
      <c r="P44" s="5">
        <f>0.035338*(1000000)</f>
        <v>35338</v>
      </c>
      <c r="Q44" s="5">
        <f>0.029188*(1000000)</f>
        <v>29188</v>
      </c>
      <c r="R44" s="5">
        <f>0.031929*(1000000)</f>
        <v>31929</v>
      </c>
      <c r="S44" s="5">
        <f>0.021897*(1000000)</f>
        <v>21897</v>
      </c>
      <c r="T44" s="8">
        <v>1069.8</v>
      </c>
      <c r="U44" s="8">
        <v>570.5</v>
      </c>
      <c r="V44" s="8">
        <v>2292.9</v>
      </c>
      <c r="W44" s="8">
        <v>377.7</v>
      </c>
      <c r="X44" s="8">
        <v>914.3</v>
      </c>
      <c r="Y44" s="8">
        <v>1311</v>
      </c>
    </row>
    <row r="45" spans="1:25" x14ac:dyDescent="0.25">
      <c r="A45" s="7">
        <v>37803</v>
      </c>
      <c r="B45" s="3">
        <f>(250.2*(1))*(1000)</f>
        <v>250200</v>
      </c>
      <c r="C45" s="3">
        <f>(297.8*(1))*(1000)</f>
        <v>297800</v>
      </c>
      <c r="D45" s="3">
        <f>(9342.3*(1))*(1000)</f>
        <v>9342300</v>
      </c>
      <c r="E45" s="3">
        <f>1468.9*(1000)</f>
        <v>1468900</v>
      </c>
      <c r="F45" s="3">
        <f>331.7*(1000)</f>
        <v>331700</v>
      </c>
      <c r="G45" s="3">
        <f>5602.6*(1000)</f>
        <v>5602600</v>
      </c>
      <c r="H45" s="3">
        <f>1903.1*(1000)</f>
        <v>1903100</v>
      </c>
      <c r="I45" s="3">
        <f>399.4*(1000)</f>
        <v>399400</v>
      </c>
      <c r="J45" s="3">
        <f>776.4*(1000)</f>
        <v>776400</v>
      </c>
      <c r="K45" s="3">
        <f>2146.8*(1000)</f>
        <v>2146800</v>
      </c>
      <c r="L45" s="5">
        <f>0.000006*(1000000)</f>
        <v>6</v>
      </c>
      <c r="M45" s="5">
        <f>0.019497*(1000000)</f>
        <v>19497</v>
      </c>
      <c r="N45" s="5">
        <v>70072</v>
      </c>
      <c r="O45" s="5">
        <f>0.009117*(1000000)</f>
        <v>9117</v>
      </c>
      <c r="P45" s="5">
        <f>0.03565*(1000000)</f>
        <v>35650</v>
      </c>
      <c r="Q45" s="5">
        <f>0.029906*(1000000)</f>
        <v>29906</v>
      </c>
      <c r="R45" s="5">
        <f>0.032271*(1000000)</f>
        <v>32271</v>
      </c>
      <c r="S45" s="5">
        <f>0.020644*(1000000)</f>
        <v>20644</v>
      </c>
      <c r="T45" s="8">
        <v>1072.5999999999999</v>
      </c>
      <c r="U45" s="8">
        <v>570.29999999999995</v>
      </c>
      <c r="V45" s="8">
        <v>2295.6999999999998</v>
      </c>
      <c r="W45" s="8">
        <v>378.4</v>
      </c>
      <c r="X45" s="8">
        <v>911.5</v>
      </c>
      <c r="Y45" s="8">
        <v>1311.4</v>
      </c>
    </row>
    <row r="46" spans="1:25" x14ac:dyDescent="0.25">
      <c r="A46" s="7">
        <v>37834</v>
      </c>
      <c r="B46" s="3">
        <f>(251.3*(1))*(1000)</f>
        <v>251300</v>
      </c>
      <c r="C46" s="3">
        <f>(298.4*(1))*(1000)</f>
        <v>298400</v>
      </c>
      <c r="D46" s="3">
        <f>(9354.1*(1))*(1000)</f>
        <v>9354100</v>
      </c>
      <c r="E46" s="3">
        <f>1466.6*(1000)</f>
        <v>1466600</v>
      </c>
      <c r="F46" s="3">
        <f>334.5*(1000)</f>
        <v>334500</v>
      </c>
      <c r="G46" s="3">
        <f>5605.8*(1000)</f>
        <v>5605800</v>
      </c>
      <c r="H46" s="3">
        <f>1903.2*(1000)</f>
        <v>1903200</v>
      </c>
      <c r="I46" s="3">
        <f>400.8*(1000)</f>
        <v>400800</v>
      </c>
      <c r="J46" s="3">
        <f>777.1*(1000)</f>
        <v>777100</v>
      </c>
      <c r="K46" s="3">
        <f>2149.5*(1000)</f>
        <v>2149500</v>
      </c>
      <c r="L46" s="5">
        <f>0.000003*(1000000)</f>
        <v>3</v>
      </c>
      <c r="M46" s="5">
        <f>0.019631*(1000000)</f>
        <v>19631</v>
      </c>
      <c r="N46" s="5">
        <v>69888</v>
      </c>
      <c r="O46" s="5">
        <f>0.008619*(1000000)</f>
        <v>8619</v>
      </c>
      <c r="P46" s="5">
        <f>0.035842*(1000000)</f>
        <v>35842</v>
      </c>
      <c r="Q46" s="5">
        <f>0.029489*(1000000)</f>
        <v>29489</v>
      </c>
      <c r="R46" s="5">
        <f>0.032468*(1000000)</f>
        <v>32467.999999999996</v>
      </c>
      <c r="S46" s="5">
        <f>0.020848*(1000000)</f>
        <v>20848</v>
      </c>
      <c r="T46" s="8">
        <v>1074.2</v>
      </c>
      <c r="U46" s="8">
        <v>571</v>
      </c>
      <c r="V46" s="8">
        <v>2301.6999999999998</v>
      </c>
      <c r="W46" s="8">
        <v>379.1</v>
      </c>
      <c r="X46" s="8">
        <v>911</v>
      </c>
      <c r="Y46" s="8">
        <v>1311.1</v>
      </c>
    </row>
    <row r="47" spans="1:25" x14ac:dyDescent="0.25">
      <c r="A47" s="7">
        <v>37865</v>
      </c>
      <c r="B47" s="3">
        <f>(252.1*(1))*(1000)</f>
        <v>252100</v>
      </c>
      <c r="C47" s="3">
        <f>(299.5*(1))*(1000)</f>
        <v>299500</v>
      </c>
      <c r="D47" s="3">
        <f>(9368*(1))*(1000)</f>
        <v>9368000</v>
      </c>
      <c r="E47" s="3">
        <f>1467.6*(1000)</f>
        <v>1467600</v>
      </c>
      <c r="F47" s="3">
        <f>334.5*(1000)</f>
        <v>334500</v>
      </c>
      <c r="G47" s="3">
        <f>5608.9*(1000)</f>
        <v>5608900</v>
      </c>
      <c r="H47" s="3">
        <f>1907.6*(1000)</f>
        <v>1907600</v>
      </c>
      <c r="I47" s="3">
        <f>401.4*(1000)</f>
        <v>401400</v>
      </c>
      <c r="J47" s="3">
        <f>777.3*(1000)</f>
        <v>777300</v>
      </c>
      <c r="K47" s="3">
        <f>2147.8*(1000)</f>
        <v>2147800</v>
      </c>
      <c r="L47" s="5">
        <f>0.000001*(1000000)</f>
        <v>1</v>
      </c>
      <c r="M47" s="5">
        <f>0.02107*(1000000)</f>
        <v>21070</v>
      </c>
      <c r="N47" s="5">
        <v>71262</v>
      </c>
      <c r="O47" s="5">
        <f>0.008794*(1000000)</f>
        <v>8794</v>
      </c>
      <c r="P47" s="5">
        <f>0.035121*(1000000)</f>
        <v>35121</v>
      </c>
      <c r="Q47" s="5">
        <f>0.029462*(1000000)</f>
        <v>29462</v>
      </c>
      <c r="R47" s="5">
        <f>0.031926*(1000000)</f>
        <v>31926.000000000004</v>
      </c>
      <c r="S47" s="5">
        <f>0.02305*(1000000)</f>
        <v>23050</v>
      </c>
      <c r="T47" s="8">
        <v>1075.5999999999999</v>
      </c>
      <c r="U47" s="8">
        <v>572.70000000000005</v>
      </c>
      <c r="V47" s="8">
        <v>2304</v>
      </c>
      <c r="W47" s="8">
        <v>378.1</v>
      </c>
      <c r="X47" s="8">
        <v>911.3</v>
      </c>
      <c r="Y47" s="8">
        <v>1310.8</v>
      </c>
    </row>
    <row r="48" spans="1:25" x14ac:dyDescent="0.25">
      <c r="A48" s="7">
        <v>37895</v>
      </c>
      <c r="B48" s="3">
        <f>(252.9*(1))*(1000)</f>
        <v>252900</v>
      </c>
      <c r="C48" s="3">
        <f>(298.7*(1))*(1000)</f>
        <v>298700</v>
      </c>
      <c r="D48" s="3">
        <f>(9372*(1))*(1000)</f>
        <v>9372000</v>
      </c>
      <c r="E48" s="3">
        <f>1468.6*(1000)</f>
        <v>1468600</v>
      </c>
      <c r="F48" s="3">
        <f>333.6*(1000)</f>
        <v>333600</v>
      </c>
      <c r="G48" s="3">
        <f>5613.6*(1000)</f>
        <v>5613600</v>
      </c>
      <c r="H48" s="3">
        <f>1911.5*(1000)</f>
        <v>1911500</v>
      </c>
      <c r="I48" s="3">
        <f>402.5*(1000)</f>
        <v>402500</v>
      </c>
      <c r="J48" s="3">
        <f>779.1*(1000)</f>
        <v>779100</v>
      </c>
      <c r="K48" s="3">
        <f>2152.8*(1000)</f>
        <v>2152800</v>
      </c>
      <c r="L48" s="5">
        <f>0.000003*(1000000)</f>
        <v>3</v>
      </c>
      <c r="M48" s="5">
        <f>0.021839*(1000000)</f>
        <v>21839</v>
      </c>
      <c r="N48" s="5">
        <v>71873</v>
      </c>
      <c r="O48" s="5">
        <f>0.009281*(1000000)</f>
        <v>9281</v>
      </c>
      <c r="P48" s="5">
        <f>0.035402*(1000000)</f>
        <v>35402</v>
      </c>
      <c r="Q48" s="5">
        <f>0.029871*(1000000)</f>
        <v>29871</v>
      </c>
      <c r="R48" s="5">
        <f>0.031648*(1000000)</f>
        <v>31648.000000000004</v>
      </c>
      <c r="S48" s="5">
        <f>0.022878*(1000000)</f>
        <v>22878</v>
      </c>
      <c r="T48" s="8">
        <v>1079.5999999999999</v>
      </c>
      <c r="U48" s="8">
        <v>574.20000000000005</v>
      </c>
      <c r="V48" s="8">
        <v>2318</v>
      </c>
      <c r="W48" s="8">
        <v>379.3</v>
      </c>
      <c r="X48" s="8">
        <v>913.3</v>
      </c>
      <c r="Y48" s="8">
        <v>1310.9</v>
      </c>
    </row>
    <row r="49" spans="1:25" x14ac:dyDescent="0.25">
      <c r="A49" s="7">
        <v>37926</v>
      </c>
      <c r="B49" s="3">
        <f>(252.3*(1))*(1000)</f>
        <v>252300</v>
      </c>
      <c r="C49" s="3">
        <f>(299.1*(1))*(1000)</f>
        <v>299100</v>
      </c>
      <c r="D49" s="3">
        <f>(9381.6*(1))*(1000)</f>
        <v>9381600</v>
      </c>
      <c r="E49" s="3">
        <f>1470.6*(1000)</f>
        <v>1470600</v>
      </c>
      <c r="F49" s="3">
        <f>334*(1000)</f>
        <v>334000</v>
      </c>
      <c r="G49" s="3">
        <f>5619.2*(1000)</f>
        <v>5619200</v>
      </c>
      <c r="H49" s="3">
        <f>1912*(1000)</f>
        <v>1912000</v>
      </c>
      <c r="I49" s="3">
        <f>401.8*(1000)</f>
        <v>401800</v>
      </c>
      <c r="J49" s="3">
        <f>781.1*(1000)</f>
        <v>781100</v>
      </c>
      <c r="K49" s="3">
        <f>2153.1*(1000)</f>
        <v>2153100</v>
      </c>
      <c r="L49" s="5">
        <f>0.000002*(1000000)</f>
        <v>2</v>
      </c>
      <c r="M49" s="5">
        <f>0.023546*(1000000)</f>
        <v>23546</v>
      </c>
      <c r="N49" s="5">
        <v>73215</v>
      </c>
      <c r="O49" s="5">
        <f>0.010217*(1000000)</f>
        <v>10217</v>
      </c>
      <c r="P49" s="5">
        <f>0.035377*(1000000)</f>
        <v>35377</v>
      </c>
      <c r="Q49" s="5">
        <f>0.029563*(1000000)</f>
        <v>29563</v>
      </c>
      <c r="R49" s="5">
        <f>0.031905*(1000000)</f>
        <v>31905.000000000004</v>
      </c>
      <c r="S49" s="5">
        <f>0.02295*(1000000)</f>
        <v>22950</v>
      </c>
      <c r="T49" s="8">
        <v>1082.2</v>
      </c>
      <c r="U49" s="8">
        <v>574.9</v>
      </c>
      <c r="V49" s="8">
        <v>2322.9</v>
      </c>
      <c r="W49" s="8">
        <v>380</v>
      </c>
      <c r="X49" s="8">
        <v>914.6</v>
      </c>
      <c r="Y49" s="8">
        <v>1312.3</v>
      </c>
    </row>
    <row r="50" spans="1:25" x14ac:dyDescent="0.25">
      <c r="A50" s="7">
        <v>37956</v>
      </c>
      <c r="B50" s="3">
        <f>(252.6*(1))*(1000)</f>
        <v>252600</v>
      </c>
      <c r="C50" s="3">
        <f>(299.9*(1))*(1000)</f>
        <v>299900</v>
      </c>
      <c r="D50" s="3">
        <f>(9390.5*(1))*(1000)</f>
        <v>9390500</v>
      </c>
      <c r="E50" s="3">
        <f>1472*(1000)</f>
        <v>1472000</v>
      </c>
      <c r="F50" s="3">
        <f>334.5*(1000)</f>
        <v>334500</v>
      </c>
      <c r="G50" s="3">
        <f>5621.6*(1000)</f>
        <v>5621600</v>
      </c>
      <c r="H50" s="3">
        <f>1911.7*(1000)</f>
        <v>1911700</v>
      </c>
      <c r="I50" s="3">
        <f>403.7*(1000)</f>
        <v>403700</v>
      </c>
      <c r="J50" s="3">
        <f>781.8*(1000)</f>
        <v>781800</v>
      </c>
      <c r="K50" s="3">
        <f>2155.5*(1000)</f>
        <v>2155500</v>
      </c>
      <c r="L50" s="5">
        <f>0.000004*(1000000)</f>
        <v>4</v>
      </c>
      <c r="M50" s="5">
        <f>0.023887*(1000000)</f>
        <v>23887</v>
      </c>
      <c r="N50" s="5">
        <v>73985</v>
      </c>
      <c r="O50" s="5">
        <f>0.009268*(1000000)</f>
        <v>9268</v>
      </c>
      <c r="P50" s="5">
        <f>0.034522*(1000000)</f>
        <v>34522</v>
      </c>
      <c r="Q50" s="5">
        <f>0.029632*(1000000)</f>
        <v>29632</v>
      </c>
      <c r="R50" s="5">
        <f>0.031936*(1000000)</f>
        <v>31936</v>
      </c>
      <c r="S50" s="5">
        <f>0.024348*(1000000)</f>
        <v>24348</v>
      </c>
      <c r="T50" s="8">
        <v>1084.5</v>
      </c>
      <c r="U50" s="8">
        <v>576.4</v>
      </c>
      <c r="V50" s="8">
        <v>2329.4</v>
      </c>
      <c r="W50" s="8">
        <v>379.6</v>
      </c>
      <c r="X50" s="8">
        <v>915.6</v>
      </c>
      <c r="Y50" s="8">
        <v>1310.9</v>
      </c>
    </row>
    <row r="51" spans="1:25" x14ac:dyDescent="0.25">
      <c r="A51" s="7">
        <v>37987</v>
      </c>
      <c r="B51" s="3">
        <f>(253.2*(1))*(1000)</f>
        <v>253200</v>
      </c>
      <c r="C51" s="3">
        <f>(301*(1))*(1000)</f>
        <v>301000</v>
      </c>
      <c r="D51" s="3">
        <f>(9416.5*(1))*(1000)</f>
        <v>9416500</v>
      </c>
      <c r="E51" s="3">
        <f>1475.3*(1000)</f>
        <v>1475300</v>
      </c>
      <c r="F51" s="3">
        <f>333.9*(1000)</f>
        <v>333900</v>
      </c>
      <c r="G51" s="3">
        <f>5612.4*(1000)</f>
        <v>5612400</v>
      </c>
      <c r="H51" s="3">
        <f>1913.6*(1000)</f>
        <v>1913600</v>
      </c>
      <c r="I51" s="3">
        <f>403.6*(1000)</f>
        <v>403600</v>
      </c>
      <c r="J51" s="3">
        <f>782.5*(1000)</f>
        <v>782500</v>
      </c>
      <c r="K51" s="3">
        <f>2159*(1000)</f>
        <v>2159000</v>
      </c>
      <c r="L51" s="5">
        <f>0.000004*(1000000)</f>
        <v>4</v>
      </c>
      <c r="M51" s="5">
        <f>0.02489*(1000000)</f>
        <v>24890</v>
      </c>
      <c r="N51" s="5">
        <v>72590</v>
      </c>
      <c r="O51" s="5">
        <f>0.009782*(1000000)</f>
        <v>9782</v>
      </c>
      <c r="P51" s="5">
        <f>0.034006*(1000000)</f>
        <v>34006</v>
      </c>
      <c r="Q51" s="5">
        <f>0.030255*(1000000)</f>
        <v>30255</v>
      </c>
      <c r="R51" s="5">
        <f>0.031523*(1000000)</f>
        <v>31523.000000000004</v>
      </c>
      <c r="S51" s="5">
        <f>0.023641*(1000000)</f>
        <v>23641</v>
      </c>
      <c r="T51" s="8">
        <v>1087.2</v>
      </c>
      <c r="U51" s="8">
        <v>577</v>
      </c>
      <c r="V51" s="8">
        <v>2336.8000000000002</v>
      </c>
      <c r="W51" s="8">
        <v>380.3</v>
      </c>
      <c r="X51" s="8">
        <v>916.2</v>
      </c>
      <c r="Y51" s="8">
        <v>1312.5</v>
      </c>
    </row>
    <row r="52" spans="1:25" x14ac:dyDescent="0.25">
      <c r="A52" s="7">
        <v>38018</v>
      </c>
      <c r="B52" s="3">
        <f>(253.3*(1))*(1000)</f>
        <v>253300</v>
      </c>
      <c r="C52" s="3">
        <f>(299.7*(1))*(1000)</f>
        <v>299700</v>
      </c>
      <c r="D52" s="3">
        <f>(9426.3*(1))*(1000)</f>
        <v>9426300</v>
      </c>
      <c r="E52" s="3">
        <f>1475.2*(1000)</f>
        <v>1475200</v>
      </c>
      <c r="F52" s="3">
        <f>334.2*(1000)</f>
        <v>334200</v>
      </c>
      <c r="G52" s="3">
        <f>5617.1*(1000)</f>
        <v>5617100</v>
      </c>
      <c r="H52" s="3">
        <f>1913.9*(1000)</f>
        <v>1913900</v>
      </c>
      <c r="I52" s="3">
        <f>404.9*(1000)</f>
        <v>404900</v>
      </c>
      <c r="J52" s="3">
        <f>784.3*(1000)</f>
        <v>784300</v>
      </c>
      <c r="K52" s="3">
        <f>2159.3*(1000)</f>
        <v>2159300</v>
      </c>
      <c r="L52" s="5">
        <f>0.000008*(1000000)</f>
        <v>8</v>
      </c>
      <c r="M52" s="5">
        <f>0.024789*(1000000)</f>
        <v>24789</v>
      </c>
      <c r="N52" s="5">
        <v>72188</v>
      </c>
      <c r="O52" s="5">
        <f>0.009527*(1000000)</f>
        <v>9527</v>
      </c>
      <c r="P52" s="5">
        <f>0.033799*(1000000)</f>
        <v>33799</v>
      </c>
      <c r="Q52" s="5">
        <f>0.030327*(1000000)</f>
        <v>30327</v>
      </c>
      <c r="R52" s="5">
        <f>0.031369*(1000000)</f>
        <v>31369</v>
      </c>
      <c r="S52" s="5">
        <f>0.025116*(1000000)</f>
        <v>25116</v>
      </c>
      <c r="T52" s="8">
        <v>1090.3</v>
      </c>
      <c r="U52" s="8">
        <v>578.9</v>
      </c>
      <c r="V52" s="8">
        <v>2342.1999999999998</v>
      </c>
      <c r="W52" s="8">
        <v>380.5</v>
      </c>
      <c r="X52" s="8">
        <v>912.7</v>
      </c>
      <c r="Y52" s="8">
        <v>1308.7</v>
      </c>
    </row>
    <row r="53" spans="1:25" x14ac:dyDescent="0.25">
      <c r="A53" s="7">
        <v>38047</v>
      </c>
      <c r="B53" s="3">
        <f>(253.8*(1))*(1000)</f>
        <v>253800</v>
      </c>
      <c r="C53" s="3">
        <f>(301.5*(1))*(1000)</f>
        <v>301500</v>
      </c>
      <c r="D53" s="3">
        <f>(9437.3*(1))*(1000)</f>
        <v>9437300</v>
      </c>
      <c r="E53" s="3">
        <f>1478.6*(1000)</f>
        <v>1478600</v>
      </c>
      <c r="F53" s="3">
        <f>334.7*(1000)</f>
        <v>334700</v>
      </c>
      <c r="G53" s="3">
        <f>5628.5*(1000)</f>
        <v>5628500</v>
      </c>
      <c r="H53" s="3">
        <f>1919.5*(1000)</f>
        <v>1919500</v>
      </c>
      <c r="I53" s="3">
        <f>406.3*(1000)</f>
        <v>406300</v>
      </c>
      <c r="J53" s="3">
        <f>785.5*(1000)</f>
        <v>785500</v>
      </c>
      <c r="K53" s="3">
        <f>2165.4*(1000)</f>
        <v>2165400</v>
      </c>
      <c r="L53" s="5">
        <f>0.000005*(1000000)</f>
        <v>5</v>
      </c>
      <c r="M53" s="5">
        <f>0.027271*(1000000)</f>
        <v>27271</v>
      </c>
      <c r="N53" s="5">
        <v>71364</v>
      </c>
      <c r="O53" s="5">
        <f>0.009506*(1000000)</f>
        <v>9506</v>
      </c>
      <c r="P53" s="5">
        <f>0.032448*(1000000)</f>
        <v>32447.999999999996</v>
      </c>
      <c r="Q53" s="5">
        <f>0.03079*(1000000)</f>
        <v>30790</v>
      </c>
      <c r="R53" s="5">
        <f>0.031418*(1000000)</f>
        <v>31418</v>
      </c>
      <c r="S53" s="5">
        <f>0.02653*(1000000)</f>
        <v>26530</v>
      </c>
      <c r="T53" s="8">
        <v>1093</v>
      </c>
      <c r="U53" s="8">
        <v>581.4</v>
      </c>
      <c r="V53" s="8">
        <v>2350</v>
      </c>
      <c r="W53" s="8">
        <v>380.6</v>
      </c>
      <c r="X53" s="8">
        <v>915.4</v>
      </c>
      <c r="Y53" s="8">
        <v>1313.2</v>
      </c>
    </row>
    <row r="54" spans="1:25" x14ac:dyDescent="0.25">
      <c r="A54" s="7">
        <v>38078</v>
      </c>
      <c r="B54" s="3">
        <f>(255.3*(1))*(1000)</f>
        <v>255300</v>
      </c>
      <c r="C54" s="3">
        <f>(301.7*(1))*(1000)</f>
        <v>301700</v>
      </c>
      <c r="D54" s="3">
        <f>(9457*(1))*(1000)</f>
        <v>9457000</v>
      </c>
      <c r="E54" s="3">
        <f>1479.6*(1000)</f>
        <v>1479600</v>
      </c>
      <c r="F54" s="3">
        <f>335.8*(1000)</f>
        <v>335800</v>
      </c>
      <c r="G54" s="3">
        <f>5625.7*(1000)</f>
        <v>5625700</v>
      </c>
      <c r="H54" s="3">
        <f>1916.8*(1000)</f>
        <v>1916800</v>
      </c>
      <c r="I54" s="3">
        <f>410.5*(1000)</f>
        <v>410500</v>
      </c>
      <c r="J54" s="3">
        <f>786.6*(1000)</f>
        <v>786600</v>
      </c>
      <c r="K54" s="3">
        <f>2172.8*(1000)</f>
        <v>2172800</v>
      </c>
      <c r="L54" s="5">
        <f>0.000003*(1000000)</f>
        <v>3</v>
      </c>
      <c r="M54" s="5">
        <f>0.027177*(1000000)</f>
        <v>27177</v>
      </c>
      <c r="N54" s="5">
        <v>71717</v>
      </c>
      <c r="O54" s="5">
        <f>0.009789*(1000000)</f>
        <v>9789</v>
      </c>
      <c r="P54" s="5">
        <f>0.032082*(1000000)</f>
        <v>32082</v>
      </c>
      <c r="Q54" s="5">
        <f>0.030762*(1000000)</f>
        <v>30762</v>
      </c>
      <c r="R54" s="5">
        <f>0.031353*(1000000)</f>
        <v>31353</v>
      </c>
      <c r="S54" s="5">
        <f>0.026975*(1000000)</f>
        <v>26975</v>
      </c>
      <c r="T54" s="8">
        <v>1097.9000000000001</v>
      </c>
      <c r="U54" s="8">
        <v>584.29999999999995</v>
      </c>
      <c r="V54" s="8">
        <v>2356.8000000000002</v>
      </c>
      <c r="W54" s="8">
        <v>382.8</v>
      </c>
      <c r="X54" s="8">
        <v>919</v>
      </c>
      <c r="Y54" s="8">
        <v>1321.3</v>
      </c>
    </row>
    <row r="55" spans="1:25" x14ac:dyDescent="0.25">
      <c r="A55" s="7">
        <v>38108</v>
      </c>
      <c r="B55" s="3">
        <f>(254.5*(1))*(1000)</f>
        <v>254500</v>
      </c>
      <c r="C55" s="3">
        <f>(301.4*(1))*(1000)</f>
        <v>301400</v>
      </c>
      <c r="D55" s="3">
        <f>(9466.4*(1))*(1000)</f>
        <v>9466400</v>
      </c>
      <c r="E55" s="3">
        <f>1481.2*(1000)</f>
        <v>1481200</v>
      </c>
      <c r="F55" s="3">
        <f>336.9*(1000)</f>
        <v>336900</v>
      </c>
      <c r="G55" s="3">
        <f>5637.1*(1000)</f>
        <v>5637100</v>
      </c>
      <c r="H55" s="3">
        <f>1913.8*(1000)</f>
        <v>1913800</v>
      </c>
      <c r="I55" s="3">
        <f>410.2*(1000)</f>
        <v>410200</v>
      </c>
      <c r="J55" s="3">
        <f>788.5*(1000)</f>
        <v>788500</v>
      </c>
      <c r="K55" s="3">
        <f>2175.8*(1000)</f>
        <v>2175800</v>
      </c>
      <c r="L55" s="5">
        <f>0.000002*(1000000)</f>
        <v>2</v>
      </c>
      <c r="M55" s="5">
        <f>0.029004*(1000000)</f>
        <v>29004</v>
      </c>
      <c r="N55" s="5">
        <v>71413</v>
      </c>
      <c r="O55" s="5">
        <f>0.009974*(1000000)</f>
        <v>9974</v>
      </c>
      <c r="P55" s="5">
        <f>0.031062*(1000000)</f>
        <v>31062</v>
      </c>
      <c r="Q55" s="5">
        <f>0.030095*(1000000)</f>
        <v>30095</v>
      </c>
      <c r="R55" s="5">
        <f>0.030674*(1000000)</f>
        <v>30674</v>
      </c>
      <c r="S55" s="5">
        <f>0.026048*(1000000)</f>
        <v>26048</v>
      </c>
      <c r="T55" s="8">
        <v>1100.2</v>
      </c>
      <c r="U55" s="8">
        <v>586.20000000000005</v>
      </c>
      <c r="V55" s="8">
        <v>2367.8000000000002</v>
      </c>
      <c r="W55" s="8">
        <v>383.5</v>
      </c>
      <c r="X55" s="8">
        <v>919.9</v>
      </c>
      <c r="Y55" s="8">
        <v>1324.7</v>
      </c>
    </row>
    <row r="56" spans="1:25" x14ac:dyDescent="0.25">
      <c r="A56" s="7">
        <v>38139</v>
      </c>
      <c r="B56" s="3">
        <f>(255.6*(1))*(1000)</f>
        <v>255600</v>
      </c>
      <c r="C56" s="3">
        <f>(302.6*(1))*(1000)</f>
        <v>302600</v>
      </c>
      <c r="D56" s="3">
        <f>(9477.5*(1))*(1000)</f>
        <v>9477500</v>
      </c>
      <c r="E56" s="3">
        <f>1482.5*(1000)</f>
        <v>1482500</v>
      </c>
      <c r="F56" s="3">
        <f>337.8*(1000)</f>
        <v>337800</v>
      </c>
      <c r="G56" s="3">
        <f>5650.8*(1000)</f>
        <v>5650800</v>
      </c>
      <c r="H56" s="3">
        <f>1917*(1000)</f>
        <v>1917000</v>
      </c>
      <c r="I56" s="3">
        <f>413.3*(1000)</f>
        <v>413300</v>
      </c>
      <c r="J56" s="3">
        <f>789.6*(1000)</f>
        <v>789600</v>
      </c>
      <c r="K56" s="3">
        <f>2179.2*(1000)</f>
        <v>2179200</v>
      </c>
      <c r="L56" s="5">
        <f>0.000004*(1000000)</f>
        <v>4</v>
      </c>
      <c r="M56" s="5">
        <f>0.030875*(1000000)</f>
        <v>30875</v>
      </c>
      <c r="N56" s="5">
        <v>70889</v>
      </c>
      <c r="O56" s="5">
        <f>0.009736*(1000000)</f>
        <v>9736</v>
      </c>
      <c r="P56" s="5">
        <f>0.030757*(1000000)</f>
        <v>30757</v>
      </c>
      <c r="Q56" s="5">
        <f>0.029669*(1000000)</f>
        <v>29669</v>
      </c>
      <c r="R56" s="5">
        <f>0.029849*(1000000)</f>
        <v>29849</v>
      </c>
      <c r="S56" s="5">
        <f>0.027017*(1000000)</f>
        <v>27017</v>
      </c>
      <c r="T56" s="8">
        <v>1103.7</v>
      </c>
      <c r="U56" s="8">
        <v>587.79999999999995</v>
      </c>
      <c r="V56" s="8">
        <v>2377.3000000000002</v>
      </c>
      <c r="W56" s="8">
        <v>383.9</v>
      </c>
      <c r="X56" s="8">
        <v>921.8</v>
      </c>
      <c r="Y56" s="8">
        <v>1326.8</v>
      </c>
    </row>
    <row r="57" spans="1:25" x14ac:dyDescent="0.25">
      <c r="A57" s="7">
        <v>38169</v>
      </c>
      <c r="B57" s="3">
        <f>(256*(1))*(1000)</f>
        <v>256000</v>
      </c>
      <c r="C57" s="3">
        <f>(303.7*(1))*(1000)</f>
        <v>303700</v>
      </c>
      <c r="D57" s="3">
        <f>(9498.1*(1))*(1000)</f>
        <v>9498100</v>
      </c>
      <c r="E57" s="3">
        <f>1487.9*(1000)</f>
        <v>1487900</v>
      </c>
      <c r="F57" s="3">
        <f>339.1*(1000)</f>
        <v>339100</v>
      </c>
      <c r="G57" s="3">
        <f>5646.1*(1000)</f>
        <v>5646100</v>
      </c>
      <c r="H57" s="3">
        <f>1917.1*(1000)</f>
        <v>1917100</v>
      </c>
      <c r="I57" s="3">
        <f>412.6*(1000)</f>
        <v>412600</v>
      </c>
      <c r="J57" s="3">
        <f>791.1*(1000)</f>
        <v>791100</v>
      </c>
      <c r="K57" s="3">
        <f>2179.2*(1000)</f>
        <v>2179200</v>
      </c>
      <c r="L57" s="5">
        <f>0.000005*(1000000)</f>
        <v>5</v>
      </c>
      <c r="M57" s="5">
        <f>0.031138*(1000000)</f>
        <v>31138</v>
      </c>
      <c r="N57" s="5">
        <v>71433</v>
      </c>
      <c r="O57" s="5">
        <f>0.009659*(1000000)</f>
        <v>9659</v>
      </c>
      <c r="P57" s="5">
        <f>0.031088*(1000000)</f>
        <v>31088</v>
      </c>
      <c r="Q57" s="5">
        <f>0.029644*(1000000)</f>
        <v>29644</v>
      </c>
      <c r="R57" s="5">
        <f>0.029543*(1000000)</f>
        <v>29543</v>
      </c>
      <c r="S57" s="5">
        <f>0.0249*(1000000)</f>
        <v>24900</v>
      </c>
      <c r="T57" s="8">
        <v>1105.5</v>
      </c>
      <c r="U57" s="8">
        <v>588.6</v>
      </c>
      <c r="V57" s="8">
        <v>2388</v>
      </c>
      <c r="W57" s="8">
        <v>383.3</v>
      </c>
      <c r="X57" s="8">
        <v>922.4</v>
      </c>
      <c r="Y57" s="8">
        <v>1328.4</v>
      </c>
    </row>
    <row r="58" spans="1:25" x14ac:dyDescent="0.25">
      <c r="A58" s="7">
        <v>38200</v>
      </c>
      <c r="B58" s="3">
        <f>(256.2*(1))*(1000)</f>
        <v>256200</v>
      </c>
      <c r="C58" s="3">
        <f>(303.7*(1))*(1000)</f>
        <v>303700</v>
      </c>
      <c r="D58" s="3">
        <f>(9517.8*(1))*(1000)</f>
        <v>9517800</v>
      </c>
      <c r="E58" s="3">
        <f>1491.4*(1000)</f>
        <v>1491400</v>
      </c>
      <c r="F58" s="3">
        <f>339.6*(1000)</f>
        <v>339600</v>
      </c>
      <c r="G58" s="3">
        <f>5651.7*(1000)</f>
        <v>5651700</v>
      </c>
      <c r="H58" s="3">
        <f>1918.6*(1000)</f>
        <v>1918600</v>
      </c>
      <c r="I58" s="3">
        <f>411.1*(1000)</f>
        <v>411100</v>
      </c>
      <c r="J58" s="3">
        <f>791.4*(1000)</f>
        <v>791400</v>
      </c>
      <c r="K58" s="3">
        <f>2185.6*(1000)</f>
        <v>2185600</v>
      </c>
      <c r="L58" s="5">
        <f>0.000006*(1000000)</f>
        <v>6</v>
      </c>
      <c r="M58" s="5">
        <f>0.031952*(1000000)</f>
        <v>31952</v>
      </c>
      <c r="N58" s="5">
        <v>70847</v>
      </c>
      <c r="O58" s="5">
        <f>0.009673*(1000000)</f>
        <v>9673</v>
      </c>
      <c r="P58" s="5">
        <f>0.031748*(1000000)</f>
        <v>31748</v>
      </c>
      <c r="Q58" s="5">
        <f>0.030534*(1000000)</f>
        <v>30534</v>
      </c>
      <c r="R58" s="5">
        <f>0.029914*(1000000)</f>
        <v>29914</v>
      </c>
      <c r="S58" s="5">
        <f>0.026039*(1000000)</f>
        <v>26039</v>
      </c>
      <c r="T58" s="8">
        <v>1107.4000000000001</v>
      </c>
      <c r="U58" s="8">
        <v>590.5</v>
      </c>
      <c r="V58" s="8">
        <v>2395.8000000000002</v>
      </c>
      <c r="W58" s="8">
        <v>384.4</v>
      </c>
      <c r="X58" s="8">
        <v>925.1</v>
      </c>
      <c r="Y58" s="8">
        <v>1329.4</v>
      </c>
    </row>
    <row r="59" spans="1:25" x14ac:dyDescent="0.25">
      <c r="A59" s="7">
        <v>38231</v>
      </c>
      <c r="B59" s="3">
        <f>(255*(1))*(1000)</f>
        <v>255000</v>
      </c>
      <c r="C59" s="3">
        <f>(304.8*(1))*(1000)</f>
        <v>304800</v>
      </c>
      <c r="D59" s="3">
        <f>(9513.7*(1))*(1000)</f>
        <v>9513700</v>
      </c>
      <c r="E59" s="3">
        <f>1492.1*(1000)</f>
        <v>1492100</v>
      </c>
      <c r="F59" s="3">
        <f>339.1*(1000)</f>
        <v>339100</v>
      </c>
      <c r="G59" s="3">
        <f>5658.3*(1000)</f>
        <v>5658300</v>
      </c>
      <c r="H59" s="3">
        <f>1911.5*(1000)</f>
        <v>1911500</v>
      </c>
      <c r="I59" s="3">
        <f>412.8*(1000)</f>
        <v>412800</v>
      </c>
      <c r="J59" s="3">
        <f>790.1*(1000)</f>
        <v>790100</v>
      </c>
      <c r="K59" s="3">
        <f>2188.4*(1000)</f>
        <v>2188400</v>
      </c>
      <c r="L59" s="5">
        <f>0.000003*(1000000)</f>
        <v>3</v>
      </c>
      <c r="M59" s="5">
        <f>0.03526*(1000000)</f>
        <v>35260</v>
      </c>
      <c r="N59" s="5">
        <v>73117</v>
      </c>
      <c r="O59" s="5">
        <f>0.009431*(1000000)</f>
        <v>9431</v>
      </c>
      <c r="P59" s="5">
        <f>0.030959*(1000000)</f>
        <v>30959</v>
      </c>
      <c r="Q59" s="5">
        <f>0.030499*(1000000)</f>
        <v>30499</v>
      </c>
      <c r="R59" s="5">
        <f>0.030156*(1000000)</f>
        <v>30156</v>
      </c>
      <c r="S59" s="5">
        <f>0.025529*(1000000)</f>
        <v>25529</v>
      </c>
      <c r="T59" s="8">
        <v>1109.9000000000001</v>
      </c>
      <c r="U59" s="8">
        <v>590.70000000000005</v>
      </c>
      <c r="V59" s="8">
        <v>2398.9</v>
      </c>
      <c r="W59" s="8">
        <v>385.6</v>
      </c>
      <c r="X59" s="8">
        <v>925.7</v>
      </c>
      <c r="Y59" s="8">
        <v>1331.8</v>
      </c>
    </row>
    <row r="60" spans="1:25" x14ac:dyDescent="0.25">
      <c r="A60" s="7">
        <v>38261</v>
      </c>
      <c r="B60" s="3">
        <f>(256.5*(1))*(1000)</f>
        <v>256500</v>
      </c>
      <c r="C60" s="3">
        <f>(306.3*(1))*(1000)</f>
        <v>306300</v>
      </c>
      <c r="D60" s="3">
        <f>(9561.1*(1))*(1000)</f>
        <v>9561100</v>
      </c>
      <c r="E60" s="3">
        <f>1499.1*(1000)</f>
        <v>1499100</v>
      </c>
      <c r="F60" s="3">
        <f>340.8*(1000)</f>
        <v>340800</v>
      </c>
      <c r="G60" s="3">
        <f>5672.6*(1000)</f>
        <v>5672600</v>
      </c>
      <c r="H60" s="3">
        <f>1918.7*(1000)</f>
        <v>1918700</v>
      </c>
      <c r="I60" s="3">
        <f>413.4*(1000)</f>
        <v>413400</v>
      </c>
      <c r="J60" s="3">
        <f>797.1*(1000)</f>
        <v>797100</v>
      </c>
      <c r="K60" s="3">
        <f>2193.6*(1000)</f>
        <v>2193600</v>
      </c>
      <c r="L60" s="5">
        <f>0.000003*(1000000)</f>
        <v>3</v>
      </c>
      <c r="M60" s="5">
        <f>0.036557*(1000000)</f>
        <v>36557</v>
      </c>
      <c r="N60" s="5">
        <v>74184</v>
      </c>
      <c r="O60" s="5">
        <f>0.010088*(1000000)</f>
        <v>10088</v>
      </c>
      <c r="P60" s="5">
        <f>0.030833*(1000000)</f>
        <v>30833</v>
      </c>
      <c r="Q60" s="5">
        <f>0.031098*(1000000)</f>
        <v>31098</v>
      </c>
      <c r="R60" s="5">
        <f>0.030015*(1000000)</f>
        <v>30015</v>
      </c>
      <c r="S60" s="5">
        <f>0.025291*(1000000)</f>
        <v>25291</v>
      </c>
      <c r="T60" s="8">
        <v>1115.3</v>
      </c>
      <c r="U60" s="8">
        <v>593.79999999999995</v>
      </c>
      <c r="V60" s="8">
        <v>2425.3000000000002</v>
      </c>
      <c r="W60" s="8">
        <v>386</v>
      </c>
      <c r="X60" s="8">
        <v>925.6</v>
      </c>
      <c r="Y60" s="8">
        <v>1333.3</v>
      </c>
    </row>
    <row r="61" spans="1:25" x14ac:dyDescent="0.25">
      <c r="A61" s="7">
        <v>38292</v>
      </c>
      <c r="B61" s="3">
        <f>(257.8*(1))*(1000)</f>
        <v>257800</v>
      </c>
      <c r="C61" s="3">
        <f>(305.3*(1))*(1000)</f>
        <v>305300</v>
      </c>
      <c r="D61" s="3">
        <f>(9566.9*(1))*(1000)</f>
        <v>9566900</v>
      </c>
      <c r="E61" s="3">
        <f>1499.6*(1000)</f>
        <v>1499600</v>
      </c>
      <c r="F61" s="3">
        <f>340.9*(1000)</f>
        <v>340900</v>
      </c>
      <c r="G61" s="3">
        <f>5674.1*(1000)</f>
        <v>5674100</v>
      </c>
      <c r="H61" s="3">
        <f>1923.8*(1000)</f>
        <v>1923800</v>
      </c>
      <c r="I61" s="3">
        <f>414.3*(1000)</f>
        <v>414300</v>
      </c>
      <c r="J61" s="3">
        <f>798.4*(1000)</f>
        <v>798400</v>
      </c>
      <c r="K61" s="3">
        <f>2195*(1000)</f>
        <v>2195000</v>
      </c>
      <c r="L61" s="5">
        <f>0.000003*(1000000)</f>
        <v>3</v>
      </c>
      <c r="M61" s="5">
        <f>0.038745*(1000000)</f>
        <v>38745</v>
      </c>
      <c r="N61" s="5">
        <v>74936</v>
      </c>
      <c r="O61" s="5">
        <f>0.009981*(1000000)</f>
        <v>9981</v>
      </c>
      <c r="P61" s="5">
        <f>0.031728*(1000000)</f>
        <v>31728</v>
      </c>
      <c r="Q61" s="5">
        <f>0.031327*(1000000)</f>
        <v>31327</v>
      </c>
      <c r="R61" s="5">
        <f>0.029782*(1000000)</f>
        <v>29782</v>
      </c>
      <c r="S61" s="5">
        <f>0.026028*(1000000)</f>
        <v>26028</v>
      </c>
      <c r="T61" s="8">
        <v>1120.3</v>
      </c>
      <c r="U61" s="8">
        <v>596.6</v>
      </c>
      <c r="V61" s="8">
        <v>2431</v>
      </c>
      <c r="W61" s="8">
        <v>385.9</v>
      </c>
      <c r="X61" s="8">
        <v>926.1</v>
      </c>
      <c r="Y61" s="8">
        <v>1333</v>
      </c>
    </row>
    <row r="62" spans="1:25" x14ac:dyDescent="0.25">
      <c r="A62" s="7">
        <v>38322</v>
      </c>
      <c r="B62" s="3">
        <f>(258.2*(1))*(1000)</f>
        <v>258200</v>
      </c>
      <c r="C62" s="3">
        <f>(306.6*(1))*(1000)</f>
        <v>306600</v>
      </c>
      <c r="D62" s="3">
        <f>(9581.5*(1))*(1000)</f>
        <v>9581500</v>
      </c>
      <c r="E62" s="3">
        <f>1503.7*(1000)</f>
        <v>1503700</v>
      </c>
      <c r="F62" s="3">
        <f>340.7*(1000)</f>
        <v>340700</v>
      </c>
      <c r="G62" s="3">
        <f>5677.1*(1000)</f>
        <v>5677100</v>
      </c>
      <c r="H62" s="3">
        <f>1924.8*(1000)</f>
        <v>1924800</v>
      </c>
      <c r="I62" s="3">
        <f>415.6*(1000)</f>
        <v>415600</v>
      </c>
      <c r="J62" s="3">
        <f>799.9*(1000)</f>
        <v>799900</v>
      </c>
      <c r="K62" s="3">
        <f>2199.6*(1000)</f>
        <v>2199600</v>
      </c>
      <c r="L62" s="5">
        <f>0.000007*(1000000)</f>
        <v>7</v>
      </c>
      <c r="M62" s="5">
        <f>0.039478*(1000000)</f>
        <v>39478</v>
      </c>
      <c r="N62" s="5">
        <v>75560</v>
      </c>
      <c r="O62" s="5">
        <f>0.009338*(1000000)</f>
        <v>9338</v>
      </c>
      <c r="P62" s="5">
        <f>0.032038*(1000000)</f>
        <v>32037.999999999996</v>
      </c>
      <c r="Q62" s="5">
        <f>0.031434*(1000000)</f>
        <v>31433.999999999996</v>
      </c>
      <c r="R62" s="5">
        <f>0.029832*(1000000)</f>
        <v>29832</v>
      </c>
      <c r="S62" s="5">
        <f>0.026107*(1000000)</f>
        <v>26107</v>
      </c>
      <c r="T62" s="8">
        <v>1122.3</v>
      </c>
      <c r="U62" s="8">
        <v>597.79999999999995</v>
      </c>
      <c r="V62" s="8">
        <v>2442.8000000000002</v>
      </c>
      <c r="W62" s="8">
        <v>385.5</v>
      </c>
      <c r="X62" s="8">
        <v>927.6</v>
      </c>
      <c r="Y62" s="8">
        <v>1333.4</v>
      </c>
    </row>
    <row r="63" spans="1:25" x14ac:dyDescent="0.25">
      <c r="A63" s="7">
        <v>38353</v>
      </c>
      <c r="B63" s="3">
        <f>(258.7*(1))*(1000)</f>
        <v>258700</v>
      </c>
      <c r="C63" s="3">
        <f>(307.7*(1))*(1000)</f>
        <v>307700</v>
      </c>
      <c r="D63" s="3">
        <f>(9602.7*(1))*(1000)</f>
        <v>9602700</v>
      </c>
      <c r="E63" s="3">
        <f>1501.5*(1000)</f>
        <v>1501500</v>
      </c>
      <c r="F63" s="3">
        <f>340.9*(1000)</f>
        <v>340900</v>
      </c>
      <c r="G63" s="3">
        <f>5677*(1000)</f>
        <v>5677000</v>
      </c>
      <c r="H63" s="3">
        <f>1926.5*(1000)</f>
        <v>1926500</v>
      </c>
      <c r="I63" s="3">
        <f>413.1*(1000)</f>
        <v>413100</v>
      </c>
      <c r="J63" s="3">
        <f>798.6*(1000)</f>
        <v>798600</v>
      </c>
      <c r="K63" s="3">
        <f>2202.9*(1000)</f>
        <v>2202900</v>
      </c>
      <c r="L63" s="5">
        <f>0.000004*(1000000)</f>
        <v>4</v>
      </c>
      <c r="M63" s="5">
        <f>0.040956*(1000000)</f>
        <v>40956</v>
      </c>
      <c r="N63" s="5">
        <v>77691</v>
      </c>
      <c r="O63" s="5">
        <f>0.009116*(1000000)</f>
        <v>9116</v>
      </c>
      <c r="P63" s="5">
        <f>0.031731*(1000000)</f>
        <v>31731.000000000004</v>
      </c>
      <c r="Q63" s="5">
        <f>0.032105*(1000000)</f>
        <v>32105</v>
      </c>
      <c r="R63" s="5">
        <f>0.02968*(1000000)</f>
        <v>29680</v>
      </c>
      <c r="S63" s="5">
        <f>0.026267*(1000000)</f>
        <v>26267</v>
      </c>
      <c r="T63" s="8">
        <v>1125.0999999999999</v>
      </c>
      <c r="U63" s="8">
        <v>601.4</v>
      </c>
      <c r="V63" s="8">
        <v>2445</v>
      </c>
      <c r="W63" s="8">
        <v>385.9</v>
      </c>
      <c r="X63" s="8">
        <v>926.7</v>
      </c>
      <c r="Y63" s="8">
        <v>1326.2</v>
      </c>
    </row>
    <row r="64" spans="1:25" x14ac:dyDescent="0.25">
      <c r="A64" s="7">
        <v>38384</v>
      </c>
      <c r="B64" s="3">
        <f>(259.5*(1))*(1000)</f>
        <v>259500</v>
      </c>
      <c r="C64" s="3">
        <f>(306.3*(1))*(1000)</f>
        <v>306300</v>
      </c>
      <c r="D64" s="3">
        <f>(9618.8*(1))*(1000)</f>
        <v>9618800</v>
      </c>
      <c r="E64" s="3">
        <f>1506.1*(1000)</f>
        <v>1506100</v>
      </c>
      <c r="F64" s="3">
        <f>342.3*(1000)</f>
        <v>342300</v>
      </c>
      <c r="G64" s="3">
        <f>5685.6*(1000)</f>
        <v>5685600</v>
      </c>
      <c r="H64" s="3">
        <f>1924.5*(1000)</f>
        <v>1924500</v>
      </c>
      <c r="I64" s="3">
        <f>416.6*(1000)</f>
        <v>416600</v>
      </c>
      <c r="J64" s="3">
        <f>799.9*(1000)</f>
        <v>799900</v>
      </c>
      <c r="K64" s="3">
        <f>2207.9*(1000)</f>
        <v>2207900</v>
      </c>
      <c r="L64" s="5">
        <f>0.000005*(1000000)</f>
        <v>5</v>
      </c>
      <c r="M64" s="5">
        <f>0.0472*(1000000)</f>
        <v>47200</v>
      </c>
      <c r="N64" s="5">
        <v>79137</v>
      </c>
      <c r="O64" s="5">
        <f>0.009097*(1000000)</f>
        <v>9097</v>
      </c>
      <c r="P64" s="5">
        <f>0.032502*(1000000)</f>
        <v>32502.000000000004</v>
      </c>
      <c r="Q64" s="5">
        <f>0.0316*(1000000)</f>
        <v>31600.000000000004</v>
      </c>
      <c r="R64" s="5">
        <f>0.029035*(1000000)</f>
        <v>29035</v>
      </c>
      <c r="S64" s="5">
        <f>0.02757*(1000000)</f>
        <v>27570</v>
      </c>
      <c r="T64" s="8">
        <v>1130.8</v>
      </c>
      <c r="U64" s="8">
        <v>603.29999999999995</v>
      </c>
      <c r="V64" s="8">
        <v>2457.6999999999998</v>
      </c>
      <c r="W64" s="8">
        <v>387</v>
      </c>
      <c r="X64" s="8">
        <v>929.8</v>
      </c>
      <c r="Y64" s="8">
        <v>1332.1</v>
      </c>
    </row>
    <row r="65" spans="1:25" x14ac:dyDescent="0.25">
      <c r="A65" s="7">
        <v>38412</v>
      </c>
      <c r="B65" s="3">
        <f>(261*(1))*(1000)</f>
        <v>261000</v>
      </c>
      <c r="C65" s="3">
        <f>(306.9*(1))*(1000)</f>
        <v>306900</v>
      </c>
      <c r="D65" s="3">
        <f>(9637.4*(1))*(1000)</f>
        <v>9637400</v>
      </c>
      <c r="E65" s="3">
        <f>1511.3*(1000)</f>
        <v>1511300</v>
      </c>
      <c r="F65" s="3">
        <f>342.7*(1000)</f>
        <v>342700</v>
      </c>
      <c r="G65" s="3">
        <f>5677.6*(1000)</f>
        <v>5677600</v>
      </c>
      <c r="H65" s="3">
        <f>1929.9*(1000)</f>
        <v>1929900</v>
      </c>
      <c r="I65" s="3">
        <f>417.4*(1000)</f>
        <v>417400</v>
      </c>
      <c r="J65" s="3">
        <f>800.4*(1000)</f>
        <v>800400</v>
      </c>
      <c r="K65" s="3">
        <f>2212.8*(1000)</f>
        <v>2212800</v>
      </c>
      <c r="L65" s="5">
        <f>0.000004*(1000000)</f>
        <v>4</v>
      </c>
      <c r="M65" s="5">
        <f>0.048786*(1000000)</f>
        <v>48786</v>
      </c>
      <c r="N65" s="5">
        <v>80340</v>
      </c>
      <c r="O65" s="5">
        <f>0.009061*(1000000)</f>
        <v>9061</v>
      </c>
      <c r="P65" s="5">
        <f>0.031987*(1000000)</f>
        <v>31987</v>
      </c>
      <c r="Q65" s="5">
        <f>0.031964*(1000000)</f>
        <v>31964</v>
      </c>
      <c r="R65" s="5">
        <f>0.029036*(1000000)</f>
        <v>29036</v>
      </c>
      <c r="S65" s="5">
        <f>0.027958*(1000000)</f>
        <v>27958</v>
      </c>
      <c r="T65" s="8">
        <v>1133.3</v>
      </c>
      <c r="U65" s="8">
        <v>604.29999999999995</v>
      </c>
      <c r="V65" s="8">
        <v>2466.5</v>
      </c>
      <c r="W65" s="8">
        <v>388.1</v>
      </c>
      <c r="X65" s="8">
        <v>932</v>
      </c>
      <c r="Y65" s="8">
        <v>1333.7</v>
      </c>
    </row>
    <row r="66" spans="1:25" x14ac:dyDescent="0.25">
      <c r="A66" s="7">
        <v>38443</v>
      </c>
      <c r="B66" s="3">
        <f>(261.8*(1))*(1000)</f>
        <v>261800</v>
      </c>
      <c r="C66" s="3">
        <f>(307.7*(1))*(1000)</f>
        <v>307700</v>
      </c>
      <c r="D66" s="3">
        <f>(9676.9*(1))*(1000)</f>
        <v>9676900</v>
      </c>
      <c r="E66" s="3">
        <f>1517.8*(1000)</f>
        <v>1517800</v>
      </c>
      <c r="F66" s="3">
        <f>344.5*(1000)</f>
        <v>344500</v>
      </c>
      <c r="G66" s="3">
        <f>5699.1*(1000)</f>
        <v>5699100</v>
      </c>
      <c r="H66" s="3">
        <f>1941.8*(1000)</f>
        <v>1941800</v>
      </c>
      <c r="I66" s="3">
        <f>416.1*(1000)</f>
        <v>416100</v>
      </c>
      <c r="J66" s="3">
        <f>804.9*(1000)</f>
        <v>804900</v>
      </c>
      <c r="K66" s="3">
        <f>2212.4*(1000)</f>
        <v>2212400</v>
      </c>
      <c r="L66" s="5">
        <f>0.000006*(1000000)</f>
        <v>6</v>
      </c>
      <c r="M66" s="5">
        <f>0.051663*(1000000)</f>
        <v>51663</v>
      </c>
      <c r="N66" s="5">
        <v>79797</v>
      </c>
      <c r="O66" s="5">
        <f>0.009411*(1000000)</f>
        <v>9411</v>
      </c>
      <c r="P66" s="5">
        <f>0.031452*(1000000)</f>
        <v>31452</v>
      </c>
      <c r="Q66" s="5">
        <f>0.031474*(1000000)</f>
        <v>31474.000000000004</v>
      </c>
      <c r="R66" s="5">
        <f>0.028832*(1000000)</f>
        <v>28832</v>
      </c>
      <c r="S66" s="5">
        <f>0.027554*(1000000)</f>
        <v>27554</v>
      </c>
      <c r="T66" s="8">
        <v>1137.3</v>
      </c>
      <c r="U66" s="8">
        <v>605.70000000000005</v>
      </c>
      <c r="V66" s="8">
        <v>2488.4</v>
      </c>
      <c r="W66" s="8">
        <v>388.9</v>
      </c>
      <c r="X66" s="8">
        <v>932.5</v>
      </c>
      <c r="Y66" s="8">
        <v>1331.7</v>
      </c>
    </row>
    <row r="67" spans="1:25" x14ac:dyDescent="0.25">
      <c r="A67" s="7">
        <v>38473</v>
      </c>
      <c r="B67" s="3">
        <f>(262.3*(1))*(1000)</f>
        <v>262300</v>
      </c>
      <c r="C67" s="3">
        <f>(308.2*(1))*(1000)</f>
        <v>308200</v>
      </c>
      <c r="D67" s="3">
        <f>(9691.7*(1))*(1000)</f>
        <v>9691700</v>
      </c>
      <c r="E67" s="3">
        <f>1520.5*(1000)</f>
        <v>1520500</v>
      </c>
      <c r="F67" s="3">
        <f>344.7*(1000)</f>
        <v>344700</v>
      </c>
      <c r="G67" s="3">
        <f>5701*(1000)</f>
        <v>5701000</v>
      </c>
      <c r="H67" s="3">
        <f>1943.3*(1000)</f>
        <v>1943300</v>
      </c>
      <c r="I67" s="3">
        <f>417.3*(1000)</f>
        <v>417300</v>
      </c>
      <c r="J67" s="3">
        <f>806*(1000)</f>
        <v>806000</v>
      </c>
      <c r="K67" s="3">
        <f>2217.1*(1000)</f>
        <v>2217100</v>
      </c>
      <c r="L67" s="5">
        <f>0.000004*(1000000)</f>
        <v>4</v>
      </c>
      <c r="M67" s="5">
        <f>0.05283*(1000000)</f>
        <v>52830</v>
      </c>
      <c r="N67" s="5">
        <v>77886</v>
      </c>
      <c r="O67" s="5">
        <f>0.009275*(1000000)</f>
        <v>9275</v>
      </c>
      <c r="P67" s="5">
        <f>0.031198*(1000000)</f>
        <v>31198</v>
      </c>
      <c r="Q67" s="5">
        <f>0.031199*(1000000)</f>
        <v>31199</v>
      </c>
      <c r="R67" s="5">
        <f>0.029367*(1000000)</f>
        <v>29367</v>
      </c>
      <c r="S67" s="5">
        <f>0.02917*(1000000)</f>
        <v>29170</v>
      </c>
      <c r="T67" s="8">
        <v>1140.0999999999999</v>
      </c>
      <c r="U67" s="8">
        <v>606.20000000000005</v>
      </c>
      <c r="V67" s="8">
        <v>2499.1999999999998</v>
      </c>
      <c r="W67" s="8">
        <v>388.8</v>
      </c>
      <c r="X67" s="8">
        <v>932.2</v>
      </c>
      <c r="Y67" s="8">
        <v>1333.1</v>
      </c>
    </row>
    <row r="68" spans="1:25" x14ac:dyDescent="0.25">
      <c r="A68" s="7">
        <v>38504</v>
      </c>
      <c r="B68" s="3">
        <f>(262.1*(1))*(1000)</f>
        <v>262100.00000000003</v>
      </c>
      <c r="C68" s="3">
        <f>(307.4*(1))*(1000)</f>
        <v>307400</v>
      </c>
      <c r="D68" s="3">
        <f>(9695.9*(1))*(1000)</f>
        <v>9695900</v>
      </c>
      <c r="E68" s="3">
        <f>1521.3*(1000)</f>
        <v>1521300</v>
      </c>
      <c r="F68" s="3">
        <f>344.4*(1000)</f>
        <v>344400</v>
      </c>
      <c r="G68" s="3">
        <f>5701*(1000)</f>
        <v>5701000</v>
      </c>
      <c r="H68" s="3">
        <f>1944.8*(1000)</f>
        <v>1944800</v>
      </c>
      <c r="I68" s="3">
        <f>419*(1000)</f>
        <v>419000</v>
      </c>
      <c r="J68" s="3">
        <f>805.9*(1000)</f>
        <v>805900</v>
      </c>
      <c r="K68" s="3">
        <f>2218.5*(1000)</f>
        <v>2218500</v>
      </c>
      <c r="L68" s="5">
        <f>0.000004*(1000000)</f>
        <v>4</v>
      </c>
      <c r="M68" s="5">
        <f>0.053061*(1000000)</f>
        <v>53061</v>
      </c>
      <c r="N68" s="5">
        <v>77173</v>
      </c>
      <c r="O68" s="5">
        <f>0.009314*(1000000)</f>
        <v>9314</v>
      </c>
      <c r="P68" s="5">
        <f>0.030998*(1000000)</f>
        <v>30998</v>
      </c>
      <c r="Q68" s="5">
        <f>0.030891*(1000000)</f>
        <v>30891</v>
      </c>
      <c r="R68" s="5">
        <f>0.029125*(1000000)</f>
        <v>29125</v>
      </c>
      <c r="S68" s="5">
        <f>0.028122*(1000000)</f>
        <v>28122</v>
      </c>
      <c r="T68" s="8">
        <v>1142.0999999999999</v>
      </c>
      <c r="U68" s="8">
        <v>606.79999999999995</v>
      </c>
      <c r="V68" s="8">
        <v>2507.6</v>
      </c>
      <c r="W68" s="8">
        <v>389</v>
      </c>
      <c r="X68" s="8">
        <v>933.3</v>
      </c>
      <c r="Y68" s="8">
        <v>1334.1</v>
      </c>
    </row>
    <row r="69" spans="1:25" x14ac:dyDescent="0.25">
      <c r="A69" s="7">
        <v>38534</v>
      </c>
      <c r="B69" s="3">
        <f>(264.4*(1))*(1000)</f>
        <v>264400</v>
      </c>
      <c r="C69" s="3">
        <f>(310*(1))*(1000)</f>
        <v>310000</v>
      </c>
      <c r="D69" s="3">
        <f>(9761.2*(1))*(1000)</f>
        <v>9761200</v>
      </c>
      <c r="E69" s="3">
        <f>1527.1*(1000)</f>
        <v>1527100</v>
      </c>
      <c r="F69" s="3">
        <f>345.2*(1000)</f>
        <v>345200</v>
      </c>
      <c r="G69" s="3">
        <f>5716.3*(1000)</f>
        <v>5716300</v>
      </c>
      <c r="H69" s="3">
        <f>1951.1*(1000)</f>
        <v>1951100</v>
      </c>
      <c r="I69" s="3">
        <f>422*(1000)</f>
        <v>422000</v>
      </c>
      <c r="J69" s="3">
        <f>809.9*(1000)</f>
        <v>809900</v>
      </c>
      <c r="K69" s="3">
        <f>2230.5*(1000)</f>
        <v>2230500</v>
      </c>
      <c r="L69" s="5">
        <f>0.000003*(1000000)</f>
        <v>3</v>
      </c>
      <c r="M69" s="5">
        <f>0.051902*(1000000)</f>
        <v>51902</v>
      </c>
      <c r="N69" s="5">
        <v>77071</v>
      </c>
      <c r="O69" s="5">
        <f>0.008763*(1000000)</f>
        <v>8763</v>
      </c>
      <c r="P69" s="5">
        <f>0.030153*(1000000)</f>
        <v>30153</v>
      </c>
      <c r="Q69" s="5">
        <f>0.03084*(1000000)</f>
        <v>30840</v>
      </c>
      <c r="R69" s="5">
        <f>0.028328*(1000000)</f>
        <v>28328</v>
      </c>
      <c r="S69" s="5">
        <f>0.027126*(1000000)</f>
        <v>27126</v>
      </c>
      <c r="T69" s="8">
        <v>1150.5999999999999</v>
      </c>
      <c r="U69" s="8">
        <v>612.20000000000005</v>
      </c>
      <c r="V69" s="8">
        <v>2525</v>
      </c>
      <c r="W69" s="8">
        <v>390.2</v>
      </c>
      <c r="X69" s="8">
        <v>936.2</v>
      </c>
      <c r="Y69" s="8">
        <v>1327.5</v>
      </c>
    </row>
    <row r="70" spans="1:25" x14ac:dyDescent="0.25">
      <c r="A70" s="7">
        <v>38565</v>
      </c>
      <c r="B70" s="3">
        <f>(265.9*(1))*(1000)</f>
        <v>265900</v>
      </c>
      <c r="C70" s="3">
        <f>(310.3*(1))*(1000)</f>
        <v>310300</v>
      </c>
      <c r="D70" s="3">
        <f>(9776.4*(1))*(1000)</f>
        <v>9776400</v>
      </c>
      <c r="E70" s="3">
        <f>1531*(1000)</f>
        <v>1531000</v>
      </c>
      <c r="F70" s="3">
        <f>346*(1000)</f>
        <v>346000</v>
      </c>
      <c r="G70" s="3">
        <f>5715.5*(1000)</f>
        <v>5715500</v>
      </c>
      <c r="H70" s="3">
        <f>1950*(1000)</f>
        <v>1950000</v>
      </c>
      <c r="I70" s="3">
        <f>420.9*(1000)</f>
        <v>420900</v>
      </c>
      <c r="J70" s="3">
        <f>811.8*(1000)</f>
        <v>811800</v>
      </c>
      <c r="K70" s="3">
        <f>2231.2*(1000)</f>
        <v>2231200</v>
      </c>
      <c r="L70" s="5">
        <f>0.000006*(1000000)</f>
        <v>6</v>
      </c>
      <c r="M70" s="5">
        <f>0.055389*(1000000)</f>
        <v>55389</v>
      </c>
      <c r="N70" s="5">
        <v>76172</v>
      </c>
      <c r="O70" s="5">
        <f>0.008861*(1000000)</f>
        <v>8861</v>
      </c>
      <c r="P70" s="5">
        <f>0.03083*(1000000)</f>
        <v>30830</v>
      </c>
      <c r="Q70" s="5">
        <f>0.031142*(1000000)</f>
        <v>31142</v>
      </c>
      <c r="R70" s="5">
        <f>0.02818*(1000000)</f>
        <v>28180</v>
      </c>
      <c r="S70" s="5">
        <f>0.029331*(1000000)</f>
        <v>29331</v>
      </c>
      <c r="T70" s="8">
        <v>1156.3</v>
      </c>
      <c r="U70" s="8">
        <v>614.1</v>
      </c>
      <c r="V70" s="8">
        <v>2533.8000000000002</v>
      </c>
      <c r="W70" s="8">
        <v>391</v>
      </c>
      <c r="X70" s="8">
        <v>936.1</v>
      </c>
      <c r="Y70" s="8">
        <v>1329.3</v>
      </c>
    </row>
    <row r="71" spans="1:25" x14ac:dyDescent="0.25">
      <c r="A71" s="7">
        <v>38596</v>
      </c>
      <c r="B71" s="3">
        <f>(266.6*(1))*(1000)</f>
        <v>266600</v>
      </c>
      <c r="C71" s="3">
        <f>(309.9*(1))*(1000)</f>
        <v>309900</v>
      </c>
      <c r="D71" s="3">
        <f>(9805.8*(1))*(1000)</f>
        <v>9805800</v>
      </c>
      <c r="E71" s="3">
        <f>1533.7*(1000)</f>
        <v>1533700</v>
      </c>
      <c r="F71" s="3">
        <f>346.7*(1000)</f>
        <v>346700</v>
      </c>
      <c r="G71" s="3">
        <f>5720.9*(1000)</f>
        <v>5720900</v>
      </c>
      <c r="H71" s="3">
        <f>1823.1*(1000)</f>
        <v>1823100</v>
      </c>
      <c r="I71" s="3">
        <f>423*(1000)</f>
        <v>423000</v>
      </c>
      <c r="J71" s="3">
        <f>813.2*(1000)</f>
        <v>813200</v>
      </c>
      <c r="K71" s="3">
        <f>2238.9*(1000)</f>
        <v>2238900</v>
      </c>
      <c r="L71" s="5">
        <f>0.000006*(1000000)</f>
        <v>6</v>
      </c>
      <c r="M71" s="5">
        <f>0.057619*(1000000)</f>
        <v>57619</v>
      </c>
      <c r="N71" s="5">
        <v>76005</v>
      </c>
      <c r="O71" s="5">
        <f>0.008982*(1000000)</f>
        <v>8982</v>
      </c>
      <c r="P71" s="5">
        <f>0.030587*(1000000)</f>
        <v>30587</v>
      </c>
      <c r="Q71" s="5">
        <f>0.030932*(1000000)</f>
        <v>30932</v>
      </c>
      <c r="R71" s="5">
        <f>0.027462*(1000000)</f>
        <v>27462</v>
      </c>
      <c r="S71" s="5">
        <f>0.028723*(1000000)</f>
        <v>28723</v>
      </c>
      <c r="T71" s="8">
        <v>1160.4000000000001</v>
      </c>
      <c r="U71" s="8">
        <v>617.79999999999995</v>
      </c>
      <c r="V71" s="8">
        <v>2547.5</v>
      </c>
      <c r="W71" s="8">
        <v>392.2</v>
      </c>
      <c r="X71" s="8">
        <v>937.6</v>
      </c>
      <c r="Y71" s="8">
        <v>1333.1</v>
      </c>
    </row>
    <row r="72" spans="1:25" x14ac:dyDescent="0.25">
      <c r="A72" s="7">
        <v>38626</v>
      </c>
      <c r="B72" s="3">
        <f>(267.5*(1))*(1000)</f>
        <v>267500</v>
      </c>
      <c r="C72" s="3">
        <f>(310*(1))*(1000)</f>
        <v>310000</v>
      </c>
      <c r="D72" s="3">
        <f>(9821.2*(1))*(1000)</f>
        <v>9821200</v>
      </c>
      <c r="E72" s="3">
        <f>1538.1*(1000)</f>
        <v>1538100</v>
      </c>
      <c r="F72" s="3">
        <f>345.4*(1000)</f>
        <v>345400</v>
      </c>
      <c r="G72" s="3">
        <f>5716.2*(1000)</f>
        <v>5716200</v>
      </c>
      <c r="H72" s="3">
        <f>1772.1*(1000)</f>
        <v>1772100</v>
      </c>
      <c r="I72" s="3">
        <f>424.4*(1000)</f>
        <v>424400</v>
      </c>
      <c r="J72" s="3">
        <f>813.7*(1000)</f>
        <v>813700</v>
      </c>
      <c r="K72" s="3">
        <f>2241.5*(1000)</f>
        <v>2241500</v>
      </c>
      <c r="L72" s="5">
        <f>0.000005*(1000000)</f>
        <v>5</v>
      </c>
      <c r="M72" s="5">
        <f>0.058739*(1000000)</f>
        <v>58739</v>
      </c>
      <c r="N72" s="5">
        <v>78763</v>
      </c>
      <c r="O72" s="5">
        <f>0.009487*(1000000)</f>
        <v>9487</v>
      </c>
      <c r="P72" s="5">
        <f>0.031763*(1000000)</f>
        <v>31763</v>
      </c>
      <c r="Q72" s="5">
        <f>0.032231*(1000000)</f>
        <v>32231.000000000004</v>
      </c>
      <c r="R72" s="5">
        <f>0.028098*(1000000)</f>
        <v>28098</v>
      </c>
      <c r="S72" s="5">
        <f>0.029119*(1000000)</f>
        <v>29119</v>
      </c>
      <c r="T72" s="8">
        <v>1161.7</v>
      </c>
      <c r="U72" s="8">
        <v>617.70000000000005</v>
      </c>
      <c r="V72" s="8">
        <v>2548.1</v>
      </c>
      <c r="W72" s="8">
        <v>391.6</v>
      </c>
      <c r="X72" s="8">
        <v>938</v>
      </c>
      <c r="Y72" s="8">
        <v>1334.9</v>
      </c>
    </row>
    <row r="73" spans="1:25" x14ac:dyDescent="0.25">
      <c r="A73" s="7">
        <v>38657</v>
      </c>
      <c r="B73" s="3">
        <f>(268.2*(1))*(1000)</f>
        <v>268200</v>
      </c>
      <c r="C73" s="3">
        <f>(310.8*(1))*(1000)</f>
        <v>310800</v>
      </c>
      <c r="D73" s="3">
        <f>(9866*(1))*(1000)</f>
        <v>9866000</v>
      </c>
      <c r="E73" s="3">
        <f>1545.1*(1000)</f>
        <v>1545100</v>
      </c>
      <c r="F73" s="3">
        <f>346.5*(1000)</f>
        <v>346500</v>
      </c>
      <c r="G73" s="3">
        <f>5722*(1000)</f>
        <v>5722000</v>
      </c>
      <c r="H73" s="3">
        <f>1789.8*(1000)</f>
        <v>1789800</v>
      </c>
      <c r="I73" s="3">
        <f>425.7*(1000)</f>
        <v>425700</v>
      </c>
      <c r="J73" s="3">
        <f>817.8*(1000)</f>
        <v>817800</v>
      </c>
      <c r="K73" s="3">
        <f>2245.8*(1000)</f>
        <v>2245800</v>
      </c>
      <c r="L73" s="5">
        <f>0.000004*(1000000)</f>
        <v>4</v>
      </c>
      <c r="M73" s="5">
        <f>0.060198*(1000000)</f>
        <v>60198</v>
      </c>
      <c r="N73" s="5">
        <v>80424</v>
      </c>
      <c r="O73" s="5">
        <f>0.009281*(1000000)</f>
        <v>9281</v>
      </c>
      <c r="P73" s="5">
        <f>0.032024*(1000000)</f>
        <v>32023.999999999996</v>
      </c>
      <c r="Q73" s="5">
        <f>0.031395*(1000000)</f>
        <v>31395</v>
      </c>
      <c r="R73" s="5">
        <f>0.026802*(1000000)</f>
        <v>26802</v>
      </c>
      <c r="S73" s="5">
        <f>0.029658*(1000000)</f>
        <v>29658</v>
      </c>
      <c r="T73" s="8">
        <v>1167.5</v>
      </c>
      <c r="U73" s="8">
        <v>621.5</v>
      </c>
      <c r="V73" s="8">
        <v>2560.1</v>
      </c>
      <c r="W73" s="8">
        <v>392.8</v>
      </c>
      <c r="X73" s="8">
        <v>938.7</v>
      </c>
      <c r="Y73" s="8">
        <v>1338.7</v>
      </c>
    </row>
    <row r="74" spans="1:25" x14ac:dyDescent="0.25">
      <c r="A74" s="7">
        <v>38687</v>
      </c>
      <c r="B74" s="3">
        <f>(269.2*(1))*(1000)</f>
        <v>269200</v>
      </c>
      <c r="C74" s="3">
        <f>(310.1*(1))*(1000)</f>
        <v>310100</v>
      </c>
      <c r="D74" s="3">
        <f>(9886.5*(1))*(1000)</f>
        <v>9886500</v>
      </c>
      <c r="E74" s="3">
        <f>1549.5*(1000)</f>
        <v>1549500</v>
      </c>
      <c r="F74" s="3">
        <f>347.4*(1000)</f>
        <v>347400</v>
      </c>
      <c r="G74" s="3">
        <f>5719.4*(1000)</f>
        <v>5719400</v>
      </c>
      <c r="H74" s="3">
        <f>1801.9*(1000)</f>
        <v>1801900</v>
      </c>
      <c r="I74" s="3">
        <f>425.6*(1000)</f>
        <v>425600</v>
      </c>
      <c r="J74" s="3">
        <f>818.9*(1000)</f>
        <v>818900</v>
      </c>
      <c r="K74" s="3">
        <f>2251.4*(1000)</f>
        <v>2251400</v>
      </c>
      <c r="L74" s="5">
        <f>0.000004*(1000000)</f>
        <v>4</v>
      </c>
      <c r="M74" s="5">
        <f>0.059938*(1000000)</f>
        <v>59938</v>
      </c>
      <c r="N74" s="5">
        <v>80216</v>
      </c>
      <c r="O74" s="5">
        <f>0.0094*(1000000)</f>
        <v>9400</v>
      </c>
      <c r="P74" s="5">
        <f>0.030999*(1000000)</f>
        <v>30999</v>
      </c>
      <c r="Q74" s="5">
        <f>0.031625*(1000000)</f>
        <v>31625</v>
      </c>
      <c r="R74" s="5">
        <f>0.027476*(1000000)</f>
        <v>27476</v>
      </c>
      <c r="S74" s="5">
        <f>0.028*(1000000)</f>
        <v>28000</v>
      </c>
      <c r="T74" s="8">
        <v>1171.2</v>
      </c>
      <c r="U74" s="8">
        <v>624.1</v>
      </c>
      <c r="V74" s="8">
        <v>2571.3000000000002</v>
      </c>
      <c r="W74" s="8">
        <v>393.8</v>
      </c>
      <c r="X74" s="8">
        <v>938.7</v>
      </c>
      <c r="Y74" s="8">
        <v>1340.2</v>
      </c>
    </row>
    <row r="75" spans="1:25" x14ac:dyDescent="0.25">
      <c r="A75" s="7">
        <v>38718</v>
      </c>
      <c r="B75" s="3">
        <f>(271.5*(1))*(1000)</f>
        <v>271500</v>
      </c>
      <c r="C75" s="3">
        <f>(310.2*(1))*(1000)</f>
        <v>310200</v>
      </c>
      <c r="D75" s="3">
        <f>(9923*(1))*(1000)</f>
        <v>9923000</v>
      </c>
      <c r="E75" s="3">
        <f>1552.5*(1000)</f>
        <v>1552500</v>
      </c>
      <c r="F75" s="3">
        <f>348.3*(1000)</f>
        <v>348300</v>
      </c>
      <c r="G75" s="3">
        <f>5732.2*(1000)</f>
        <v>5732200</v>
      </c>
      <c r="H75" s="3">
        <f>1810.2*(1000)</f>
        <v>1810200</v>
      </c>
      <c r="I75" s="3">
        <f>427.4*(1000)</f>
        <v>427400</v>
      </c>
      <c r="J75" s="3">
        <f>821.3*(1000)</f>
        <v>821300</v>
      </c>
      <c r="K75" s="3">
        <f>2259.8*(1000)</f>
        <v>2259800</v>
      </c>
      <c r="L75" s="5">
        <f>0.000005*(1000000)</f>
        <v>5</v>
      </c>
      <c r="M75" s="5">
        <f>0.059994*(1000000)</f>
        <v>59994</v>
      </c>
      <c r="N75" s="5">
        <v>79596</v>
      </c>
      <c r="O75" s="5">
        <f>0.009464*(1000000)</f>
        <v>9464</v>
      </c>
      <c r="P75" s="5">
        <f>0.031918*(1000000)</f>
        <v>31918.000000000004</v>
      </c>
      <c r="Q75" s="5">
        <f>0.03134*(1000000)</f>
        <v>31340</v>
      </c>
      <c r="R75" s="5">
        <f>0.028011*(1000000)</f>
        <v>28011</v>
      </c>
      <c r="S75" s="5">
        <f>0.030464*(1000000)</f>
        <v>30464</v>
      </c>
      <c r="T75" s="8">
        <v>1178.4000000000001</v>
      </c>
      <c r="U75" s="8">
        <v>628.29999999999995</v>
      </c>
      <c r="V75" s="8">
        <v>2594.8000000000002</v>
      </c>
      <c r="W75" s="8">
        <v>395.1</v>
      </c>
      <c r="X75" s="8">
        <v>940.2</v>
      </c>
      <c r="Y75" s="8">
        <v>1341.9</v>
      </c>
    </row>
    <row r="76" spans="1:25" x14ac:dyDescent="0.25">
      <c r="A76" s="7">
        <v>38749</v>
      </c>
      <c r="B76" s="3">
        <f>(272.7*(1))*(1000)</f>
        <v>272700</v>
      </c>
      <c r="C76" s="3">
        <f>(311.9*(1))*(1000)</f>
        <v>311900</v>
      </c>
      <c r="D76" s="3">
        <f>(9944.5*(1))*(1000)</f>
        <v>9944500</v>
      </c>
      <c r="E76" s="3">
        <f>1555.7*(1000)</f>
        <v>1555700</v>
      </c>
      <c r="F76" s="3">
        <f>349.9*(1000)</f>
        <v>349900</v>
      </c>
      <c r="G76" s="3">
        <f>5744.8*(1000)</f>
        <v>5744800</v>
      </c>
      <c r="H76" s="3">
        <f>1822.2*(1000)</f>
        <v>1822200</v>
      </c>
      <c r="I76" s="3">
        <f>430.2*(1000)</f>
        <v>430200</v>
      </c>
      <c r="J76" s="3">
        <f>825.8*(1000)</f>
        <v>825800</v>
      </c>
      <c r="K76" s="3">
        <f>2263.7*(1000)</f>
        <v>2263700</v>
      </c>
      <c r="L76" s="5">
        <f>0.000003*(1000000)</f>
        <v>3</v>
      </c>
      <c r="M76" s="5">
        <f>0.059443*(1000000)</f>
        <v>59443</v>
      </c>
      <c r="N76" s="5">
        <v>79948</v>
      </c>
      <c r="O76" s="5">
        <f>0.009285*(1000000)</f>
        <v>9285</v>
      </c>
      <c r="P76" s="5">
        <f>0.032253*(1000000)</f>
        <v>32252.999999999996</v>
      </c>
      <c r="Q76" s="5">
        <f>0.031533*(1000000)</f>
        <v>31533</v>
      </c>
      <c r="R76" s="5">
        <f>0.027315*(1000000)</f>
        <v>27315</v>
      </c>
      <c r="S76" s="5">
        <f>0.030253*(1000000)</f>
        <v>30253</v>
      </c>
      <c r="T76" s="8">
        <v>1184.7</v>
      </c>
      <c r="U76" s="8">
        <v>630.4</v>
      </c>
      <c r="V76" s="8">
        <v>2609.4</v>
      </c>
      <c r="W76" s="8">
        <v>396.1</v>
      </c>
      <c r="X76" s="8">
        <v>943.5</v>
      </c>
      <c r="Y76" s="8">
        <v>1349.8</v>
      </c>
    </row>
    <row r="77" spans="1:25" x14ac:dyDescent="0.25">
      <c r="A77" s="7">
        <v>38777</v>
      </c>
      <c r="B77" s="3">
        <f>(274.1*(1))*(1000)</f>
        <v>274100</v>
      </c>
      <c r="C77" s="3">
        <f>(313.4*(1))*(1000)</f>
        <v>313400</v>
      </c>
      <c r="D77" s="3">
        <f>(9984.7*(1))*(1000)</f>
        <v>9984700</v>
      </c>
      <c r="E77" s="3">
        <f>1560.9*(1000)</f>
        <v>1560900</v>
      </c>
      <c r="F77" s="3">
        <f>351.3*(1000)</f>
        <v>351300</v>
      </c>
      <c r="G77" s="3">
        <f>5752.4*(1000)</f>
        <v>5752400</v>
      </c>
      <c r="H77" s="3">
        <f>1837*(1000)</f>
        <v>1837000</v>
      </c>
      <c r="I77" s="3">
        <f>431*(1000)</f>
        <v>431000</v>
      </c>
      <c r="J77" s="3">
        <f>828.6*(1000)</f>
        <v>828600</v>
      </c>
      <c r="K77" s="3">
        <f>2268.6*(1000)</f>
        <v>2268600</v>
      </c>
      <c r="L77" s="5">
        <f>0.000003*(1000000)</f>
        <v>3</v>
      </c>
      <c r="M77" s="5">
        <f>0.060533*(1000000)</f>
        <v>60533</v>
      </c>
      <c r="N77" s="5">
        <v>80027</v>
      </c>
      <c r="O77" s="5">
        <f>0.00928*(1000000)</f>
        <v>9280</v>
      </c>
      <c r="P77" s="5">
        <f>0.0329*(1000000)</f>
        <v>32900</v>
      </c>
      <c r="Q77" s="5">
        <f>0.031688*(1000000)</f>
        <v>31688</v>
      </c>
      <c r="R77" s="5">
        <f>0.027627*(1000000)</f>
        <v>27627</v>
      </c>
      <c r="S77" s="5">
        <f>0.031845*(1000000)</f>
        <v>31845</v>
      </c>
      <c r="T77" s="8">
        <v>1189.5</v>
      </c>
      <c r="U77" s="8">
        <v>632.9</v>
      </c>
      <c r="V77" s="8">
        <v>2622.6</v>
      </c>
      <c r="W77" s="8">
        <v>396.9</v>
      </c>
      <c r="X77" s="8">
        <v>943.8</v>
      </c>
      <c r="Y77" s="8">
        <v>1349.6</v>
      </c>
    </row>
    <row r="78" spans="1:25" x14ac:dyDescent="0.25">
      <c r="A78" s="7">
        <v>38808</v>
      </c>
      <c r="B78" s="3">
        <f>(275.4*(1))*(1000)</f>
        <v>275400</v>
      </c>
      <c r="C78" s="3">
        <f>(314.4*(1))*(1000)</f>
        <v>314400</v>
      </c>
      <c r="D78" s="3">
        <f>(9996.6*(1))*(1000)</f>
        <v>9996600</v>
      </c>
      <c r="E78" s="3">
        <f>1556.6*(1000)</f>
        <v>1556600</v>
      </c>
      <c r="F78" s="3">
        <f>352.2*(1000)</f>
        <v>352200</v>
      </c>
      <c r="G78" s="3">
        <f>5760.1*(1000)</f>
        <v>5760100</v>
      </c>
      <c r="H78" s="3">
        <f>1840.3*(1000)</f>
        <v>1840300</v>
      </c>
      <c r="I78" s="3">
        <f>433.1*(1000)</f>
        <v>433100</v>
      </c>
      <c r="J78" s="3">
        <f>829.3*(1000)</f>
        <v>829300</v>
      </c>
      <c r="K78" s="3">
        <f>2270.6*(1000)</f>
        <v>2270600</v>
      </c>
      <c r="L78" s="5">
        <f>0.000004*(1000000)</f>
        <v>4</v>
      </c>
      <c r="M78" s="5">
        <f>0.059752*(1000000)</f>
        <v>59752</v>
      </c>
      <c r="N78" s="5">
        <v>78421</v>
      </c>
      <c r="O78" s="5">
        <f>0.0096*(1000000)</f>
        <v>9600</v>
      </c>
      <c r="P78" s="5">
        <f>0.031983*(1000000)</f>
        <v>31982.999999999996</v>
      </c>
      <c r="Q78" s="5">
        <f>0.031264*(1000000)</f>
        <v>31264</v>
      </c>
      <c r="R78" s="5">
        <f>0.027099*(1000000)</f>
        <v>27099</v>
      </c>
      <c r="S78" s="5">
        <f>0.031617*(1000000)</f>
        <v>31617</v>
      </c>
      <c r="T78" s="8">
        <v>1193.3</v>
      </c>
      <c r="U78" s="8">
        <v>635.6</v>
      </c>
      <c r="V78" s="8">
        <v>2629.1</v>
      </c>
      <c r="W78" s="8">
        <v>396.9</v>
      </c>
      <c r="X78" s="8">
        <v>942.5</v>
      </c>
      <c r="Y78" s="8">
        <v>1349.1</v>
      </c>
    </row>
    <row r="79" spans="1:25" x14ac:dyDescent="0.25">
      <c r="A79" s="7">
        <v>38838</v>
      </c>
      <c r="B79" s="3">
        <f>(276.4*(1))*(1000)</f>
        <v>276400</v>
      </c>
      <c r="C79" s="3">
        <f>(314.5*(1))*(1000)</f>
        <v>314500</v>
      </c>
      <c r="D79" s="3">
        <f>(10023.1*(1))*(1000)</f>
        <v>10023100</v>
      </c>
      <c r="E79" s="3">
        <f>1562.2*(1000)</f>
        <v>1562200</v>
      </c>
      <c r="F79" s="3">
        <f>351.7*(1000)</f>
        <v>351700</v>
      </c>
      <c r="G79" s="3">
        <f>5756*(1000)</f>
        <v>5756000</v>
      </c>
      <c r="H79" s="3">
        <f>1847.8*(1000)</f>
        <v>1847800</v>
      </c>
      <c r="I79" s="3">
        <f>433.8*(1000)</f>
        <v>433800</v>
      </c>
      <c r="J79" s="3">
        <f>831.1*(1000)</f>
        <v>831100</v>
      </c>
      <c r="K79" s="3">
        <f>2275.3*(1000)</f>
        <v>2275300</v>
      </c>
      <c r="L79" s="5">
        <f>0.000004*(1000000)</f>
        <v>4</v>
      </c>
      <c r="M79" s="5">
        <f>0.060299*(1000000)</f>
        <v>60299</v>
      </c>
      <c r="N79" s="5">
        <v>79526</v>
      </c>
      <c r="O79" s="5">
        <f>0.009458*(1000000)</f>
        <v>9458</v>
      </c>
      <c r="P79" s="5">
        <f>0.031829*(1000000)</f>
        <v>31829.000000000004</v>
      </c>
      <c r="Q79" s="5">
        <f>0.030825*(1000000)</f>
        <v>30825</v>
      </c>
      <c r="R79" s="5">
        <f>0.02762*(1000000)</f>
        <v>27620</v>
      </c>
      <c r="S79" s="5">
        <f>0.033262*(1000000)</f>
        <v>33262</v>
      </c>
      <c r="T79" s="8">
        <v>1197.3</v>
      </c>
      <c r="U79" s="8">
        <v>636.70000000000005</v>
      </c>
      <c r="V79" s="8">
        <v>2636.6</v>
      </c>
      <c r="W79" s="8">
        <v>397.5</v>
      </c>
      <c r="X79" s="8">
        <v>942.8</v>
      </c>
      <c r="Y79" s="8">
        <v>1350.1</v>
      </c>
    </row>
    <row r="80" spans="1:25" x14ac:dyDescent="0.25">
      <c r="A80" s="7">
        <v>38869</v>
      </c>
      <c r="B80" s="3">
        <f>(277.5*(1))*(1000)</f>
        <v>277500</v>
      </c>
      <c r="C80" s="3">
        <f>(317.5*(1))*(1000)</f>
        <v>317500</v>
      </c>
      <c r="D80" s="3">
        <f>(10048.1*(1))*(1000)</f>
        <v>10048100</v>
      </c>
      <c r="E80" s="3">
        <f>1566.3*(1000)</f>
        <v>1566300</v>
      </c>
      <c r="F80" s="3">
        <f>352.1*(1000)</f>
        <v>352100</v>
      </c>
      <c r="G80" s="3">
        <f>5754.5*(1000)</f>
        <v>5754500</v>
      </c>
      <c r="H80" s="3">
        <f>1853.3*(1000)</f>
        <v>1853300</v>
      </c>
      <c r="I80" s="3">
        <f>437.3*(1000)</f>
        <v>437300</v>
      </c>
      <c r="J80" s="3">
        <f>835*(1000)</f>
        <v>835000</v>
      </c>
      <c r="K80" s="3">
        <f>2281.4*(1000)</f>
        <v>2281400</v>
      </c>
      <c r="L80" s="5">
        <f>0.000005*(1000000)</f>
        <v>5</v>
      </c>
      <c r="M80" s="5">
        <f>0.062013*(1000000)</f>
        <v>62013</v>
      </c>
      <c r="N80" s="5">
        <v>79375</v>
      </c>
      <c r="O80" s="5">
        <f>0.009638*(1000000)</f>
        <v>9638</v>
      </c>
      <c r="P80" s="5">
        <f>0.031129*(1000000)</f>
        <v>31129</v>
      </c>
      <c r="Q80" s="5">
        <f>0.03045*(1000000)</f>
        <v>30450</v>
      </c>
      <c r="R80" s="5">
        <f>0.027261*(1000000)</f>
        <v>27261</v>
      </c>
      <c r="S80" s="5">
        <f>0.0319*(1000000)</f>
        <v>31899.999999999996</v>
      </c>
      <c r="T80" s="8">
        <v>1203.5999999999999</v>
      </c>
      <c r="U80" s="8">
        <v>638.4</v>
      </c>
      <c r="V80" s="8">
        <v>2645.8</v>
      </c>
      <c r="W80" s="8">
        <v>398</v>
      </c>
      <c r="X80" s="8">
        <v>945.9</v>
      </c>
      <c r="Y80" s="8">
        <v>1355</v>
      </c>
    </row>
    <row r="81" spans="1:25" x14ac:dyDescent="0.25">
      <c r="A81" s="7">
        <v>38899</v>
      </c>
      <c r="B81" s="3">
        <f>(277.4*(1))*(1000)</f>
        <v>277400</v>
      </c>
      <c r="C81" s="3">
        <f>(313.8*(1))*(1000)</f>
        <v>313800</v>
      </c>
      <c r="D81" s="3">
        <f>(10057.1*(1))*(1000)</f>
        <v>10057100</v>
      </c>
      <c r="E81" s="3">
        <f>1566.8*(1000)</f>
        <v>1566800</v>
      </c>
      <c r="F81" s="3">
        <f>351.3*(1000)</f>
        <v>351300</v>
      </c>
      <c r="G81" s="3">
        <f>5755.7*(1000)</f>
        <v>5755700</v>
      </c>
      <c r="H81" s="3">
        <f>1849.9*(1000)</f>
        <v>1849900</v>
      </c>
      <c r="I81" s="3">
        <f>439.9*(1000)</f>
        <v>439900</v>
      </c>
      <c r="J81" s="3">
        <f>833*(1000)</f>
        <v>833000</v>
      </c>
      <c r="K81" s="3">
        <f>2279.3*(1000)</f>
        <v>2279300</v>
      </c>
      <c r="L81" s="5">
        <f>0.000004*(1000000)</f>
        <v>4</v>
      </c>
      <c r="M81" s="5">
        <f>0.063351*(1000000)</f>
        <v>63351.000000000007</v>
      </c>
      <c r="N81" s="5">
        <v>79592</v>
      </c>
      <c r="O81" s="5">
        <f>0.009523*(1000000)</f>
        <v>9523</v>
      </c>
      <c r="P81" s="5">
        <f>0.0309*(1000000)</f>
        <v>30900</v>
      </c>
      <c r="Q81" s="5">
        <f>0.030459*(1000000)</f>
        <v>30459</v>
      </c>
      <c r="R81" s="5">
        <f>0.027296*(1000000)</f>
        <v>27296</v>
      </c>
      <c r="S81" s="5">
        <f>0.031932*(1000000)</f>
        <v>31932.000000000004</v>
      </c>
      <c r="T81" s="8">
        <v>1206.8</v>
      </c>
      <c r="U81" s="8">
        <v>640.5</v>
      </c>
      <c r="V81" s="8">
        <v>2645.5</v>
      </c>
      <c r="W81" s="8">
        <v>398.7</v>
      </c>
      <c r="X81" s="8">
        <v>945.4</v>
      </c>
      <c r="Y81" s="8">
        <v>1347</v>
      </c>
    </row>
    <row r="82" spans="1:25" x14ac:dyDescent="0.25">
      <c r="A82" s="7">
        <v>38930</v>
      </c>
      <c r="B82" s="3">
        <f>(278.9*(1))*(1000)</f>
        <v>278900</v>
      </c>
      <c r="C82" s="3">
        <f>(314.1*(1))*(1000)</f>
        <v>314100</v>
      </c>
      <c r="D82" s="3">
        <f>(10100.2*(1))*(1000)</f>
        <v>10100200</v>
      </c>
      <c r="E82" s="3">
        <f>1572.7*(1000)</f>
        <v>1572700</v>
      </c>
      <c r="F82" s="3">
        <f>352.9*(1000)</f>
        <v>352900</v>
      </c>
      <c r="G82" s="3">
        <f>5761.7*(1000)</f>
        <v>5761700</v>
      </c>
      <c r="H82" s="3">
        <f>1860.7*(1000)</f>
        <v>1860700</v>
      </c>
      <c r="I82" s="3">
        <f>435*(1000)</f>
        <v>435000</v>
      </c>
      <c r="J82" s="3">
        <f>834.3*(1000)</f>
        <v>834300</v>
      </c>
      <c r="K82" s="3">
        <f>2283.6*(1000)</f>
        <v>2283600</v>
      </c>
      <c r="L82" s="5">
        <f>0.000005*(1000000)</f>
        <v>5</v>
      </c>
      <c r="M82" s="5">
        <f>0.063814*(1000000)</f>
        <v>63813.999999999993</v>
      </c>
      <c r="N82" s="5">
        <v>81052</v>
      </c>
      <c r="O82" s="5">
        <f>0.009627*(1000000)</f>
        <v>9627</v>
      </c>
      <c r="P82" s="5">
        <f>0.029323*(1000000)</f>
        <v>29323</v>
      </c>
      <c r="Q82" s="5">
        <f>0.030805*(1000000)</f>
        <v>30805</v>
      </c>
      <c r="R82" s="5">
        <f>0.026694*(1000000)</f>
        <v>26694</v>
      </c>
      <c r="S82" s="5">
        <f>0.032273*(1000000)</f>
        <v>32273.000000000004</v>
      </c>
      <c r="T82" s="8">
        <v>1211.2</v>
      </c>
      <c r="U82" s="8">
        <v>642.1</v>
      </c>
      <c r="V82" s="8">
        <v>2651.5</v>
      </c>
      <c r="W82" s="8">
        <v>399.9</v>
      </c>
      <c r="X82" s="8">
        <v>946.4</v>
      </c>
      <c r="Y82" s="8">
        <v>1353.2</v>
      </c>
    </row>
    <row r="83" spans="1:25" x14ac:dyDescent="0.25">
      <c r="A83" s="7">
        <v>38961</v>
      </c>
      <c r="B83" s="3">
        <f>(279.5*(1))*(1000)</f>
        <v>279500</v>
      </c>
      <c r="C83" s="3">
        <f>(314.5*(1))*(1000)</f>
        <v>314500</v>
      </c>
      <c r="D83" s="3">
        <f>(10135.9*(1))*(1000)</f>
        <v>10135900</v>
      </c>
      <c r="E83" s="3">
        <f>1573.3*(1000)</f>
        <v>1573300</v>
      </c>
      <c r="F83" s="3">
        <f>353.8*(1000)</f>
        <v>353800</v>
      </c>
      <c r="G83" s="3">
        <f>5766.3*(1000)</f>
        <v>5766300</v>
      </c>
      <c r="H83" s="3">
        <f>1874*(1000)</f>
        <v>1874000</v>
      </c>
      <c r="I83" s="3">
        <f>434.1*(1000)</f>
        <v>434100</v>
      </c>
      <c r="J83" s="3">
        <f>836.7*(1000)</f>
        <v>836700</v>
      </c>
      <c r="K83" s="3">
        <f>2285.7*(1000)</f>
        <v>2285700</v>
      </c>
      <c r="L83" s="5">
        <f>0.000124*(1000000)</f>
        <v>124</v>
      </c>
      <c r="M83" s="5">
        <f>0.066587*(1000000)</f>
        <v>66587</v>
      </c>
      <c r="N83" s="5">
        <v>83048</v>
      </c>
      <c r="O83" s="5">
        <f>0.010137*(1000000)</f>
        <v>10137</v>
      </c>
      <c r="P83" s="5">
        <f>0.0308*(1000000)</f>
        <v>30800</v>
      </c>
      <c r="Q83" s="5">
        <f>0.031119*(1000000)</f>
        <v>31119</v>
      </c>
      <c r="R83" s="5">
        <f>0.028765*(1000000)</f>
        <v>28765</v>
      </c>
      <c r="S83" s="5">
        <f>0.03194*(1000000)</f>
        <v>31940.000000000004</v>
      </c>
      <c r="T83" s="8">
        <v>1213.5</v>
      </c>
      <c r="U83" s="8">
        <v>643.29999999999995</v>
      </c>
      <c r="V83" s="8">
        <v>2658.7</v>
      </c>
      <c r="W83" s="8">
        <v>399.7</v>
      </c>
      <c r="X83" s="8">
        <v>948.9</v>
      </c>
      <c r="Y83" s="8">
        <v>1361.7</v>
      </c>
    </row>
    <row r="84" spans="1:25" x14ac:dyDescent="0.25">
      <c r="A84" s="7">
        <v>38991</v>
      </c>
      <c r="B84" s="3">
        <f>(279.9*(1))*(1000)</f>
        <v>279900</v>
      </c>
      <c r="C84" s="3">
        <f>(312.9*(1))*(1000)</f>
        <v>312900</v>
      </c>
      <c r="D84" s="3">
        <f>(10150*(1))*(1000)</f>
        <v>10150000</v>
      </c>
      <c r="E84" s="3">
        <f>1571.8*(1000)</f>
        <v>1571800</v>
      </c>
      <c r="F84" s="3">
        <f>353.3*(1000)</f>
        <v>353300</v>
      </c>
      <c r="G84" s="3">
        <f>5771.3*(1000)</f>
        <v>5771300</v>
      </c>
      <c r="H84" s="3">
        <f>1875.3*(1000)</f>
        <v>1875300</v>
      </c>
      <c r="I84" s="3">
        <f>434.7*(1000)</f>
        <v>434700</v>
      </c>
      <c r="J84" s="3">
        <f>834.4*(1000)</f>
        <v>834400</v>
      </c>
      <c r="K84" s="3">
        <f>2289.7*(1000)</f>
        <v>2289700</v>
      </c>
      <c r="L84" s="5">
        <f>0.000123*(1000000)</f>
        <v>123.00000000000001</v>
      </c>
      <c r="M84" s="5">
        <f>0.066616*(1000000)</f>
        <v>66616</v>
      </c>
      <c r="N84" s="5">
        <v>83486</v>
      </c>
      <c r="O84" s="5">
        <f>0.009958*(1000000)</f>
        <v>9958</v>
      </c>
      <c r="P84" s="5">
        <f>0.032333*(1000000)</f>
        <v>32333</v>
      </c>
      <c r="Q84" s="5">
        <f>0.031611*(1000000)</f>
        <v>31611</v>
      </c>
      <c r="R84" s="5">
        <f>0.028471*(1000000)</f>
        <v>28471</v>
      </c>
      <c r="S84" s="5">
        <f>0.034512*(1000000)</f>
        <v>34512</v>
      </c>
      <c r="T84" s="8">
        <v>1213.5999999999999</v>
      </c>
      <c r="U84" s="8">
        <v>642.4</v>
      </c>
      <c r="V84" s="8">
        <v>2659.7</v>
      </c>
      <c r="W84" s="8">
        <v>400.3</v>
      </c>
      <c r="X84" s="8">
        <v>948.1</v>
      </c>
      <c r="Y84" s="8">
        <v>1361.1</v>
      </c>
    </row>
    <row r="85" spans="1:25" x14ac:dyDescent="0.25">
      <c r="A85" s="7">
        <v>39022</v>
      </c>
      <c r="B85" s="3">
        <f>(280.9*(1))*(1000)</f>
        <v>280900</v>
      </c>
      <c r="C85" s="3">
        <f>(314.7*(1))*(1000)</f>
        <v>314700</v>
      </c>
      <c r="D85" s="3">
        <f>(10176.6*(1))*(1000)</f>
        <v>10176600</v>
      </c>
      <c r="E85" s="3">
        <f>1572.3*(1000)</f>
        <v>1572300</v>
      </c>
      <c r="F85" s="3">
        <f>354.5*(1000)</f>
        <v>354500</v>
      </c>
      <c r="G85" s="3">
        <f>5773.7*(1000)</f>
        <v>5773700</v>
      </c>
      <c r="H85" s="3">
        <f>1878.7*(1000)</f>
        <v>1878700</v>
      </c>
      <c r="I85" s="3">
        <f>435.9*(1000)</f>
        <v>435900</v>
      </c>
      <c r="J85" s="3">
        <f>836.9*(1000)</f>
        <v>836900</v>
      </c>
      <c r="K85" s="3">
        <f>2294.6*(1000)</f>
        <v>2294600</v>
      </c>
      <c r="L85" s="5">
        <f>0.000046*(1000000)</f>
        <v>46</v>
      </c>
      <c r="M85" s="5">
        <f>0.066829*(1000000)</f>
        <v>66829</v>
      </c>
      <c r="N85" s="5">
        <v>85477</v>
      </c>
      <c r="O85" s="5">
        <f>0.010902*(1000000)</f>
        <v>10902</v>
      </c>
      <c r="P85" s="5">
        <f>0.032578*(1000000)</f>
        <v>32578.000000000004</v>
      </c>
      <c r="Q85" s="5">
        <f>0.032318*(1000000)</f>
        <v>32318</v>
      </c>
      <c r="R85" s="5">
        <f>0.029886*(1000000)</f>
        <v>29886</v>
      </c>
      <c r="S85" s="5">
        <f>0.0339*(1000000)</f>
        <v>33900</v>
      </c>
      <c r="T85" s="8">
        <v>1222.7</v>
      </c>
      <c r="U85" s="8">
        <v>644.9</v>
      </c>
      <c r="V85" s="8">
        <v>2659.7</v>
      </c>
      <c r="W85" s="8">
        <v>401.4</v>
      </c>
      <c r="X85" s="8">
        <v>950.4</v>
      </c>
      <c r="Y85" s="8">
        <v>1359.1</v>
      </c>
    </row>
    <row r="86" spans="1:25" x14ac:dyDescent="0.25">
      <c r="A86" s="7">
        <v>39052</v>
      </c>
      <c r="B86" s="3">
        <f>(283.6*(1))*(1000)</f>
        <v>283600</v>
      </c>
      <c r="C86" s="3">
        <f>(315.2*(1))*(1000)</f>
        <v>315200</v>
      </c>
      <c r="D86" s="3">
        <f>(10211*(1))*(1000)</f>
        <v>10211000</v>
      </c>
      <c r="E86" s="3">
        <f>1580.3*(1000)</f>
        <v>1580300</v>
      </c>
      <c r="F86" s="3">
        <f>356*(1000)</f>
        <v>356000</v>
      </c>
      <c r="G86" s="3">
        <f>5782.9*(1000)</f>
        <v>5782900</v>
      </c>
      <c r="H86" s="3">
        <f>1887.4*(1000)</f>
        <v>1887400</v>
      </c>
      <c r="I86" s="3">
        <f>438*(1000)</f>
        <v>438000</v>
      </c>
      <c r="J86" s="3">
        <f>838.4*(1000)</f>
        <v>838400</v>
      </c>
      <c r="K86" s="3">
        <f>2303.7*(1000)</f>
        <v>2303700</v>
      </c>
      <c r="L86" s="5">
        <f>0.000119*(1000000)</f>
        <v>119</v>
      </c>
      <c r="M86" s="5">
        <f>0.066961*(1000000)</f>
        <v>66961</v>
      </c>
      <c r="N86" s="5">
        <v>87177</v>
      </c>
      <c r="O86" s="5">
        <f>0.010379*(1000000)</f>
        <v>10379</v>
      </c>
      <c r="P86" s="5">
        <f>0.03258*(1000000)</f>
        <v>32579.999999999996</v>
      </c>
      <c r="Q86" s="5">
        <f>0.032004*(1000000)</f>
        <v>32003.999999999996</v>
      </c>
      <c r="R86" s="5">
        <f>0.029553*(1000000)</f>
        <v>29553</v>
      </c>
      <c r="S86" s="5">
        <f>0.029834*(1000000)</f>
        <v>29834</v>
      </c>
      <c r="T86" s="8">
        <v>1228</v>
      </c>
      <c r="U86" s="8">
        <v>646.20000000000005</v>
      </c>
      <c r="V86" s="8">
        <v>2663.7</v>
      </c>
      <c r="W86" s="8">
        <v>402.6</v>
      </c>
      <c r="X86" s="8">
        <v>951.8</v>
      </c>
      <c r="Y86" s="8">
        <v>1367.8</v>
      </c>
    </row>
    <row r="87" spans="1:25" x14ac:dyDescent="0.25">
      <c r="A87" s="7">
        <v>39083</v>
      </c>
      <c r="B87" s="3">
        <f>(284.7*(1))*(1000)</f>
        <v>284700</v>
      </c>
      <c r="C87" s="3">
        <f>(315.7*(1))*(1000)</f>
        <v>315700</v>
      </c>
      <c r="D87" s="3">
        <f>(10231.1*(1))*(1000)</f>
        <v>10231100</v>
      </c>
      <c r="E87" s="3">
        <f>1577.1*(1000)</f>
        <v>1577100</v>
      </c>
      <c r="F87" s="3">
        <f>355.8*(1000)</f>
        <v>355800</v>
      </c>
      <c r="G87" s="3">
        <f>5788.7*(1000)</f>
        <v>5788700</v>
      </c>
      <c r="H87" s="3">
        <f>1897.8*(1000)</f>
        <v>1897800</v>
      </c>
      <c r="I87" s="3">
        <f>440.3*(1000)</f>
        <v>440300</v>
      </c>
      <c r="J87" s="3">
        <f>837*(1000)</f>
        <v>837000</v>
      </c>
      <c r="K87" s="3">
        <f>2302.7*(1000)</f>
        <v>2302700</v>
      </c>
      <c r="L87" s="5">
        <f>0.000093*(1000000)</f>
        <v>93</v>
      </c>
      <c r="M87" s="5">
        <f>0.066882*(1000000)</f>
        <v>66882</v>
      </c>
      <c r="N87" s="5">
        <v>86423</v>
      </c>
      <c r="O87" s="5">
        <f>0.010287*(1000000)</f>
        <v>10287</v>
      </c>
      <c r="P87" s="5">
        <f>0.032624*(1000000)</f>
        <v>32624</v>
      </c>
      <c r="Q87" s="5">
        <f>0.032446*(1000000)</f>
        <v>32446.000000000004</v>
      </c>
      <c r="R87" s="5">
        <f>0.02877*(1000000)</f>
        <v>28770</v>
      </c>
      <c r="S87" s="5">
        <f>0.027752*(1000000)</f>
        <v>27752</v>
      </c>
      <c r="T87" s="8">
        <v>1236.4000000000001</v>
      </c>
      <c r="U87" s="8">
        <v>649</v>
      </c>
      <c r="V87" s="8">
        <v>2665.3</v>
      </c>
      <c r="W87" s="8">
        <v>403</v>
      </c>
      <c r="X87" s="8">
        <v>953.9</v>
      </c>
      <c r="Y87" s="8">
        <v>1365.5</v>
      </c>
    </row>
    <row r="88" spans="1:25" x14ac:dyDescent="0.25">
      <c r="A88" s="7">
        <v>39114</v>
      </c>
      <c r="B88" s="3">
        <f>(285.4*(1))*(1000)</f>
        <v>285400</v>
      </c>
      <c r="C88" s="3">
        <f>(316.7*(1))*(1000)</f>
        <v>316700</v>
      </c>
      <c r="D88" s="3">
        <f>(10269.1*(1))*(1000)</f>
        <v>10269100</v>
      </c>
      <c r="E88" s="3">
        <f>1581.8*(1000)</f>
        <v>1581800</v>
      </c>
      <c r="F88" s="3">
        <f>355.6*(1000)</f>
        <v>355600</v>
      </c>
      <c r="G88" s="3">
        <f>5777.8*(1000)</f>
        <v>5777800</v>
      </c>
      <c r="H88" s="3">
        <f>1903.9*(1000)</f>
        <v>1903900</v>
      </c>
      <c r="I88" s="3">
        <f>441.2*(1000)</f>
        <v>441200</v>
      </c>
      <c r="J88" s="3">
        <f>840.2*(1000)</f>
        <v>840200</v>
      </c>
      <c r="K88" s="3">
        <f>2309*(1000)</f>
        <v>2309000</v>
      </c>
      <c r="L88" s="5">
        <f>0.000105*(1000000)</f>
        <v>105</v>
      </c>
      <c r="M88" s="5">
        <f>0.067065*(1000000)</f>
        <v>67065</v>
      </c>
      <c r="N88" s="5">
        <v>88975</v>
      </c>
      <c r="O88" s="5">
        <f>0.011432*(1000000)</f>
        <v>11432</v>
      </c>
      <c r="P88" s="5">
        <f>0.03311*(1000000)</f>
        <v>33110</v>
      </c>
      <c r="Q88" s="5">
        <f>0.032601*(1000000)</f>
        <v>32600.999999999996</v>
      </c>
      <c r="R88" s="5">
        <f>0.029099*(1000000)</f>
        <v>29099</v>
      </c>
      <c r="S88" s="5">
        <f>0.030171*(1000000)</f>
        <v>30171</v>
      </c>
      <c r="T88" s="8">
        <v>1242.0999999999999</v>
      </c>
      <c r="U88" s="8">
        <v>651.20000000000005</v>
      </c>
      <c r="V88" s="8">
        <v>2673.7</v>
      </c>
      <c r="W88" s="8">
        <v>403.9</v>
      </c>
      <c r="X88" s="8">
        <v>954.9</v>
      </c>
      <c r="Y88" s="8">
        <v>1368.3</v>
      </c>
    </row>
    <row r="89" spans="1:25" x14ac:dyDescent="0.25">
      <c r="A89" s="7">
        <v>39142</v>
      </c>
      <c r="B89" s="3">
        <f>(287*(1))*(1000)</f>
        <v>287000</v>
      </c>
      <c r="C89" s="3">
        <f>(316.9*(1))*(1000)</f>
        <v>316900</v>
      </c>
      <c r="D89" s="3">
        <f>(10312*(1))*(1000)</f>
        <v>10312000</v>
      </c>
      <c r="E89" s="3">
        <f>1592.1*(1000)</f>
        <v>1592100</v>
      </c>
      <c r="F89" s="3">
        <f>356.9*(1000)</f>
        <v>356900</v>
      </c>
      <c r="G89" s="3">
        <f>5794.3*(1000)</f>
        <v>5794300</v>
      </c>
      <c r="H89" s="3">
        <f>1913.2*(1000)</f>
        <v>1913200</v>
      </c>
      <c r="I89" s="3">
        <f>444*(1000)</f>
        <v>444000</v>
      </c>
      <c r="J89" s="3">
        <f>844.2*(1000)</f>
        <v>844200</v>
      </c>
      <c r="K89" s="3">
        <f>2320.3*(1000)</f>
        <v>2320300</v>
      </c>
      <c r="L89" s="5">
        <f>0.000083*(1000000)</f>
        <v>83</v>
      </c>
      <c r="M89" s="5">
        <f>0.06856*(1000000)</f>
        <v>68560</v>
      </c>
      <c r="N89" s="5">
        <v>90495</v>
      </c>
      <c r="O89" s="5">
        <f>0.011492*(1000000)</f>
        <v>11492</v>
      </c>
      <c r="P89" s="5">
        <f>0.033002*(1000000)</f>
        <v>33002</v>
      </c>
      <c r="Q89" s="5">
        <f>0.032447*(1000000)</f>
        <v>32446.999999999996</v>
      </c>
      <c r="R89" s="5">
        <f>0.027937*(1000000)</f>
        <v>27937</v>
      </c>
      <c r="S89" s="5">
        <f>0.035419*(1000000)</f>
        <v>35419</v>
      </c>
      <c r="T89" s="8">
        <v>1246.5</v>
      </c>
      <c r="U89" s="8">
        <v>653.5</v>
      </c>
      <c r="V89" s="8">
        <v>2681</v>
      </c>
      <c r="W89" s="8">
        <v>405</v>
      </c>
      <c r="X89" s="8">
        <v>955.5</v>
      </c>
      <c r="Y89" s="8">
        <v>1376.7</v>
      </c>
    </row>
    <row r="90" spans="1:25" x14ac:dyDescent="0.25">
      <c r="A90" s="7">
        <v>39173</v>
      </c>
      <c r="B90" s="3">
        <f>(286.7*(1))*(1000)</f>
        <v>286700</v>
      </c>
      <c r="C90" s="3">
        <f>(316.6*(1))*(1000)</f>
        <v>316600</v>
      </c>
      <c r="D90" s="3">
        <f>(10334.4*(1))*(1000)</f>
        <v>10334400</v>
      </c>
      <c r="E90" s="3">
        <f>1586.9*(1000)</f>
        <v>1586900</v>
      </c>
      <c r="F90" s="3">
        <f>356.6*(1000)</f>
        <v>356600</v>
      </c>
      <c r="G90" s="3">
        <f>5791.3*(1000)</f>
        <v>5791300</v>
      </c>
      <c r="H90" s="3">
        <f>1903.7*(1000)</f>
        <v>1903700</v>
      </c>
      <c r="I90" s="3">
        <f>443.5*(1000)</f>
        <v>443500</v>
      </c>
      <c r="J90" s="3">
        <f>841.1*(1000)</f>
        <v>841100</v>
      </c>
      <c r="K90" s="3">
        <f>2324.6*(1000)</f>
        <v>2324600</v>
      </c>
      <c r="L90" s="5">
        <f>0.000085*(1000000)</f>
        <v>85</v>
      </c>
      <c r="M90" s="5">
        <f>0.068814*(1000000)</f>
        <v>68814</v>
      </c>
      <c r="N90" s="5">
        <v>91766</v>
      </c>
      <c r="O90" s="5">
        <f>0.011306*(1000000)</f>
        <v>11306</v>
      </c>
      <c r="P90" s="5">
        <f>0.033309*(1000000)</f>
        <v>33309</v>
      </c>
      <c r="Q90" s="5">
        <f>0.032007*(1000000)</f>
        <v>32007</v>
      </c>
      <c r="R90" s="5">
        <f>0.029242*(1000000)</f>
        <v>29242</v>
      </c>
      <c r="S90" s="5">
        <f>0.037488*(1000000)</f>
        <v>37488</v>
      </c>
      <c r="T90" s="8">
        <v>1248.0999999999999</v>
      </c>
      <c r="U90" s="8">
        <v>654.20000000000005</v>
      </c>
      <c r="V90" s="8">
        <v>2674.1</v>
      </c>
      <c r="W90" s="8">
        <v>405.9</v>
      </c>
      <c r="X90" s="8">
        <v>957.7</v>
      </c>
      <c r="Y90" s="8">
        <v>1375</v>
      </c>
    </row>
    <row r="91" spans="1:25" x14ac:dyDescent="0.25">
      <c r="A91" s="7">
        <v>39203</v>
      </c>
      <c r="B91" s="3">
        <f>(287.7*(1))*(1000)</f>
        <v>287700</v>
      </c>
      <c r="C91" s="3">
        <f>(317.5*(1))*(1000)</f>
        <v>317500</v>
      </c>
      <c r="D91" s="3">
        <f>(10358.5*(1))*(1000)</f>
        <v>10358500</v>
      </c>
      <c r="E91" s="3">
        <f>1589.5*(1000)</f>
        <v>1589500</v>
      </c>
      <c r="F91" s="3">
        <f>357.8*(1000)</f>
        <v>357800</v>
      </c>
      <c r="G91" s="3">
        <f>5799.1*(1000)</f>
        <v>5799100</v>
      </c>
      <c r="H91" s="3">
        <f>1905.7*(1000)</f>
        <v>1905700</v>
      </c>
      <c r="I91" s="3">
        <f>443.6*(1000)</f>
        <v>443600</v>
      </c>
      <c r="J91" s="3">
        <f>841.4*(1000)</f>
        <v>841400</v>
      </c>
      <c r="K91" s="3">
        <f>2328.3*(1000)</f>
        <v>2328300</v>
      </c>
      <c r="L91" s="5">
        <f>0.000079*(1000000)</f>
        <v>79</v>
      </c>
      <c r="M91" s="5">
        <f>0.073633*(1000000)</f>
        <v>73633</v>
      </c>
      <c r="N91" s="5">
        <v>89585</v>
      </c>
      <c r="O91" s="5">
        <f>0.011525*(1000000)</f>
        <v>11525</v>
      </c>
      <c r="P91" s="5">
        <f>0.03393*(1000000)</f>
        <v>33930</v>
      </c>
      <c r="Q91" s="5">
        <f>0.032291*(1000000)</f>
        <v>32291</v>
      </c>
      <c r="R91" s="5">
        <f>0.028419*(1000000)</f>
        <v>28419</v>
      </c>
      <c r="S91" s="5">
        <f>0.037873*(1000000)</f>
        <v>37873</v>
      </c>
      <c r="T91" s="8">
        <v>1251.4000000000001</v>
      </c>
      <c r="U91" s="8">
        <v>655.8</v>
      </c>
      <c r="V91" s="8">
        <v>2674.8</v>
      </c>
      <c r="W91" s="8">
        <v>406.8</v>
      </c>
      <c r="X91" s="8">
        <v>960</v>
      </c>
      <c r="Y91" s="8">
        <v>1375.6</v>
      </c>
    </row>
    <row r="92" spans="1:25" x14ac:dyDescent="0.25">
      <c r="A92" s="7">
        <v>39234</v>
      </c>
      <c r="B92" s="3">
        <f>(288*(1))*(1000)</f>
        <v>288000</v>
      </c>
      <c r="C92" s="3">
        <f>(316.8*(1))*(1000)</f>
        <v>316800</v>
      </c>
      <c r="D92" s="3">
        <f>(10393.2*(1))*(1000)</f>
        <v>10393200</v>
      </c>
      <c r="E92" s="3">
        <f>1594.4*(1000)</f>
        <v>1594400</v>
      </c>
      <c r="F92" s="3">
        <f>358.2*(1000)</f>
        <v>358200</v>
      </c>
      <c r="G92" s="3">
        <f>5809.5*(1000)</f>
        <v>5809500</v>
      </c>
      <c r="H92" s="3">
        <f>1912.4*(1000)</f>
        <v>1912400</v>
      </c>
      <c r="I92" s="3">
        <f>443.7*(1000)</f>
        <v>443700</v>
      </c>
      <c r="J92" s="3">
        <f>843.7*(1000)</f>
        <v>843700</v>
      </c>
      <c r="K92" s="3">
        <f>2333.3*(1000)</f>
        <v>2333300</v>
      </c>
      <c r="L92" s="5">
        <f>0.000078*(1000000)</f>
        <v>78</v>
      </c>
      <c r="M92" s="5">
        <f>0.072805*(1000000)</f>
        <v>72805</v>
      </c>
      <c r="N92" s="5">
        <v>89106</v>
      </c>
      <c r="O92" s="5">
        <f>0.011095*(1000000)</f>
        <v>11095</v>
      </c>
      <c r="P92" s="5">
        <f>0.033721*(1000000)</f>
        <v>33721</v>
      </c>
      <c r="Q92" s="5">
        <f>0.031906*(1000000)</f>
        <v>31905.999999999996</v>
      </c>
      <c r="R92" s="5">
        <f>0.027791*(1000000)</f>
        <v>27791</v>
      </c>
      <c r="S92" s="5">
        <f>0.035886*(1000000)</f>
        <v>35886</v>
      </c>
      <c r="T92" s="8">
        <v>1254.2</v>
      </c>
      <c r="U92" s="8">
        <v>657.5</v>
      </c>
      <c r="V92" s="8">
        <v>2684.2</v>
      </c>
      <c r="W92" s="8">
        <v>406.5</v>
      </c>
      <c r="X92" s="8">
        <v>961.9</v>
      </c>
      <c r="Y92" s="8">
        <v>1384.1</v>
      </c>
    </row>
    <row r="93" spans="1:25" x14ac:dyDescent="0.25">
      <c r="A93" s="7">
        <v>39264</v>
      </c>
      <c r="B93" s="3">
        <f>(288.9*(1))*(1000)</f>
        <v>288900</v>
      </c>
      <c r="C93" s="3">
        <f>(315.8*(1))*(1000)</f>
        <v>315800</v>
      </c>
      <c r="D93" s="3">
        <f>(10413.8*(1))*(1000)</f>
        <v>10413800</v>
      </c>
      <c r="E93" s="3">
        <f>1595*(1000)</f>
        <v>1595000</v>
      </c>
      <c r="F93" s="3">
        <f>358.5*(1000)</f>
        <v>358500</v>
      </c>
      <c r="G93" s="3">
        <f>5809.2*(1000)</f>
        <v>5809200</v>
      </c>
      <c r="H93" s="3">
        <f>1911.9*(1000)</f>
        <v>1911900</v>
      </c>
      <c r="I93" s="3">
        <f>445.3*(1000)</f>
        <v>445300</v>
      </c>
      <c r="J93" s="3">
        <f>843.4*(1000)</f>
        <v>843400</v>
      </c>
      <c r="K93" s="3">
        <f>2335*(1000)</f>
        <v>2335000</v>
      </c>
      <c r="L93" s="5">
        <f>0.000072*(1000000)</f>
        <v>72</v>
      </c>
      <c r="M93" s="5">
        <f>0.074802*(1000000)</f>
        <v>74802</v>
      </c>
      <c r="N93" s="5">
        <v>92742</v>
      </c>
      <c r="O93" s="5">
        <f>0.012037*(1000000)</f>
        <v>12037</v>
      </c>
      <c r="P93" s="5">
        <f>0.034129*(1000000)</f>
        <v>34129</v>
      </c>
      <c r="Q93" s="5">
        <f>0.032075*(1000000)</f>
        <v>32075</v>
      </c>
      <c r="R93" s="5">
        <f>0.028133*(1000000)</f>
        <v>28133</v>
      </c>
      <c r="S93" s="5">
        <f>0.036476*(1000000)</f>
        <v>36476</v>
      </c>
      <c r="T93" s="8">
        <v>1255.7</v>
      </c>
      <c r="U93" s="8">
        <v>656</v>
      </c>
      <c r="V93" s="8">
        <v>2684.1</v>
      </c>
      <c r="W93" s="8">
        <v>407.7</v>
      </c>
      <c r="X93" s="8">
        <v>963.1</v>
      </c>
      <c r="Y93" s="8">
        <v>1387.2</v>
      </c>
    </row>
    <row r="94" spans="1:25" x14ac:dyDescent="0.25">
      <c r="A94" s="7">
        <v>39295</v>
      </c>
      <c r="B94" s="3">
        <f>(289.2*(1))*(1000)</f>
        <v>289200</v>
      </c>
      <c r="C94" s="3">
        <f>(316.9*(1))*(1000)</f>
        <v>316900</v>
      </c>
      <c r="D94" s="3">
        <f>(10429.6*(1))*(1000)</f>
        <v>10429600</v>
      </c>
      <c r="E94" s="3">
        <f>1600*(1000)</f>
        <v>1600000</v>
      </c>
      <c r="F94" s="3">
        <f>358.4*(1000)</f>
        <v>358400</v>
      </c>
      <c r="G94" s="3">
        <f>5805.3*(1000)</f>
        <v>5805300</v>
      </c>
      <c r="H94" s="3">
        <f>1918.5*(1000)</f>
        <v>1918500</v>
      </c>
      <c r="I94" s="3">
        <f>444.9*(1000)</f>
        <v>444900</v>
      </c>
      <c r="J94" s="3">
        <f>844.4*(1000)</f>
        <v>844400</v>
      </c>
      <c r="K94" s="3">
        <f>2334.7*(1000)</f>
        <v>2334700</v>
      </c>
      <c r="L94" s="5">
        <f>0.000058*(1000000)</f>
        <v>58</v>
      </c>
      <c r="M94" s="5">
        <f>0.075335*(1000000)</f>
        <v>75335</v>
      </c>
      <c r="N94" s="5">
        <v>92530</v>
      </c>
      <c r="O94" s="5">
        <f>0.012806*(1000000)</f>
        <v>12806</v>
      </c>
      <c r="P94" s="5">
        <f>0.033295*(1000000)</f>
        <v>33295</v>
      </c>
      <c r="Q94" s="5">
        <f>0.033117*(1000000)</f>
        <v>33117</v>
      </c>
      <c r="R94" s="5">
        <f>0.028871*(1000000)</f>
        <v>28871</v>
      </c>
      <c r="S94" s="5">
        <f>0.038224*(1000000)</f>
        <v>38224</v>
      </c>
      <c r="T94" s="8">
        <v>1257.2</v>
      </c>
      <c r="U94" s="8">
        <v>656.8</v>
      </c>
      <c r="V94" s="8">
        <v>2683.1</v>
      </c>
      <c r="W94" s="8">
        <v>407.7</v>
      </c>
      <c r="X94" s="8">
        <v>964.7</v>
      </c>
      <c r="Y94" s="8">
        <v>1385</v>
      </c>
    </row>
    <row r="95" spans="1:25" x14ac:dyDescent="0.25">
      <c r="A95" s="7">
        <v>39326</v>
      </c>
      <c r="B95" s="3">
        <f>(289.9*(1))*(1000)</f>
        <v>289900</v>
      </c>
      <c r="C95" s="3">
        <f>(317.2*(1))*(1000)</f>
        <v>317200</v>
      </c>
      <c r="D95" s="3">
        <f>(10448.8*(1))*(1000)</f>
        <v>10448800</v>
      </c>
      <c r="E95" s="3">
        <f>1600.9*(1000)</f>
        <v>1600900</v>
      </c>
      <c r="F95" s="3">
        <f>358.9*(1000)</f>
        <v>358900</v>
      </c>
      <c r="G95" s="3">
        <f>5798.4*(1000)</f>
        <v>5798400</v>
      </c>
      <c r="H95" s="3">
        <f>1923.3*(1000)</f>
        <v>1923300</v>
      </c>
      <c r="I95" s="3">
        <f>443.5*(1000)</f>
        <v>443500</v>
      </c>
      <c r="J95" s="3">
        <f>844.7*(1000)</f>
        <v>844700</v>
      </c>
      <c r="K95" s="3">
        <f>2341.5*(1000)</f>
        <v>2341500</v>
      </c>
      <c r="L95" s="5">
        <f>0.000005*(1000000)</f>
        <v>5</v>
      </c>
      <c r="M95" s="5">
        <f>0.07656*(1000000)</f>
        <v>76560</v>
      </c>
      <c r="N95" s="5">
        <v>94198</v>
      </c>
      <c r="O95" s="5">
        <f>0.012253*(1000000)</f>
        <v>12253</v>
      </c>
      <c r="P95" s="5">
        <f>0.03382*(1000000)</f>
        <v>33820</v>
      </c>
      <c r="Q95" s="5">
        <f>0.033047*(1000000)</f>
        <v>33047</v>
      </c>
      <c r="R95" s="5">
        <f>0.028788*(1000000)</f>
        <v>28788</v>
      </c>
      <c r="S95" s="5">
        <f>0.036962*(1000000)</f>
        <v>36962</v>
      </c>
      <c r="T95" s="8">
        <v>1257.7</v>
      </c>
      <c r="U95" s="8">
        <v>655.6</v>
      </c>
      <c r="V95" s="8">
        <v>2683.6</v>
      </c>
      <c r="W95" s="8">
        <v>407.5</v>
      </c>
      <c r="X95" s="8">
        <v>965</v>
      </c>
      <c r="Y95" s="8">
        <v>1385.8</v>
      </c>
    </row>
    <row r="96" spans="1:25" x14ac:dyDescent="0.25">
      <c r="A96" s="7">
        <v>39356</v>
      </c>
      <c r="B96" s="3">
        <f>(291*(1))*(1000)</f>
        <v>291000</v>
      </c>
      <c r="C96" s="3">
        <f>(317.4*(1))*(1000)</f>
        <v>317400</v>
      </c>
      <c r="D96" s="3">
        <f>(10482.4*(1))*(1000)</f>
        <v>10482400</v>
      </c>
      <c r="E96" s="3">
        <f>1605.5*(1000)</f>
        <v>1605500</v>
      </c>
      <c r="F96" s="3">
        <f>360.3*(1000)</f>
        <v>360300</v>
      </c>
      <c r="G96" s="3">
        <f>5810.1*(1000)</f>
        <v>5810100</v>
      </c>
      <c r="H96" s="3">
        <f>1928.4*(1000)</f>
        <v>1928400</v>
      </c>
      <c r="I96" s="3">
        <f>445.9*(1000)</f>
        <v>445900</v>
      </c>
      <c r="J96" s="3">
        <f>846.4*(1000)</f>
        <v>846400</v>
      </c>
      <c r="K96" s="3">
        <f>2345.2*(1000)</f>
        <v>2345200</v>
      </c>
      <c r="L96" s="5">
        <f>0.000022*(1000000)</f>
        <v>22</v>
      </c>
      <c r="M96" s="5">
        <f>0.081048*(1000000)</f>
        <v>81048</v>
      </c>
      <c r="N96" s="5">
        <v>96411</v>
      </c>
      <c r="O96" s="5">
        <f>0.012392*(1000000)</f>
        <v>12392</v>
      </c>
      <c r="P96" s="5">
        <f>0.033514*(1000000)</f>
        <v>33514</v>
      </c>
      <c r="Q96" s="5">
        <f>0.03375*(1000000)</f>
        <v>33750</v>
      </c>
      <c r="R96" s="5">
        <f>0.02979*(1000000)</f>
        <v>29790</v>
      </c>
      <c r="S96" s="5">
        <f>0.03895*(1000000)</f>
        <v>38950</v>
      </c>
      <c r="T96" s="8">
        <v>1260.2</v>
      </c>
      <c r="U96" s="8">
        <v>654.4</v>
      </c>
      <c r="V96" s="8">
        <v>2687.1</v>
      </c>
      <c r="W96" s="8">
        <v>407.8</v>
      </c>
      <c r="X96" s="8">
        <v>966.9</v>
      </c>
      <c r="Y96" s="8">
        <v>1385.3</v>
      </c>
    </row>
    <row r="97" spans="1:25" x14ac:dyDescent="0.25">
      <c r="A97" s="7">
        <v>39387</v>
      </c>
      <c r="B97" s="3">
        <f>(292.9*(1))*(1000)</f>
        <v>292900</v>
      </c>
      <c r="C97" s="3">
        <f>(317.6*(1))*(1000)</f>
        <v>317600</v>
      </c>
      <c r="D97" s="3">
        <f>(10507.2*(1))*(1000)</f>
        <v>10507200</v>
      </c>
      <c r="E97" s="3">
        <f>1608.2*(1000)</f>
        <v>1608200</v>
      </c>
      <c r="F97" s="3">
        <f>361.7*(1000)</f>
        <v>361700</v>
      </c>
      <c r="G97" s="3">
        <f>5814*(1000)</f>
        <v>5814000</v>
      </c>
      <c r="H97" s="3">
        <f>1931.3*(1000)</f>
        <v>1931300</v>
      </c>
      <c r="I97" s="3">
        <f>445.8*(1000)</f>
        <v>445800</v>
      </c>
      <c r="J97" s="3">
        <f>847.9*(1000)</f>
        <v>847900</v>
      </c>
      <c r="K97" s="3">
        <f>2348.2*(1000)</f>
        <v>2348200</v>
      </c>
      <c r="L97" s="5">
        <f>0.000007*(1000000)</f>
        <v>7</v>
      </c>
      <c r="M97" s="5">
        <f>0.079995*(1000000)</f>
        <v>79995</v>
      </c>
      <c r="N97" s="5">
        <v>98774</v>
      </c>
      <c r="O97" s="5">
        <f>0.01235*(1000000)</f>
        <v>12350</v>
      </c>
      <c r="P97" s="5">
        <f>0.034465*(1000000)</f>
        <v>34465</v>
      </c>
      <c r="Q97" s="5">
        <f>0.034353*(1000000)</f>
        <v>34353</v>
      </c>
      <c r="R97" s="5">
        <f>0.030016*(1000000)</f>
        <v>30016</v>
      </c>
      <c r="S97" s="5">
        <f>0.039226*(1000000)</f>
        <v>39226</v>
      </c>
      <c r="T97" s="8">
        <v>1263.0999999999999</v>
      </c>
      <c r="U97" s="8">
        <v>656.9</v>
      </c>
      <c r="V97" s="8">
        <v>2685.2</v>
      </c>
      <c r="W97" s="8">
        <v>408.5</v>
      </c>
      <c r="X97" s="8">
        <v>967.4</v>
      </c>
      <c r="Y97" s="8">
        <v>1388.6</v>
      </c>
    </row>
    <row r="98" spans="1:25" x14ac:dyDescent="0.25">
      <c r="A98" s="7">
        <v>39417</v>
      </c>
      <c r="B98" s="3">
        <f>(294.1*(1))*(1000)</f>
        <v>294100</v>
      </c>
      <c r="C98" s="3">
        <f>(318*(1))*(1000)</f>
        <v>318000</v>
      </c>
      <c r="D98" s="3">
        <f>(10529.2*(1))*(1000)</f>
        <v>10529200</v>
      </c>
      <c r="E98" s="3">
        <f>1606.6*(1000)</f>
        <v>1606600</v>
      </c>
      <c r="F98" s="3">
        <f>362*(1000)</f>
        <v>362000</v>
      </c>
      <c r="G98" s="3">
        <f>5812.9*(1000)</f>
        <v>5812900</v>
      </c>
      <c r="H98" s="3">
        <f>1935.1*(1000)</f>
        <v>1935100</v>
      </c>
      <c r="I98" s="3">
        <f>446.5*(1000)</f>
        <v>446500</v>
      </c>
      <c r="J98" s="3">
        <f>849.1*(1000)</f>
        <v>849100</v>
      </c>
      <c r="K98" s="3">
        <f>2350.5*(1000)</f>
        <v>2350500</v>
      </c>
      <c r="L98" s="5">
        <f>0.000025*(1000000)</f>
        <v>25</v>
      </c>
      <c r="M98" s="5">
        <f>0.08458*(1000000)</f>
        <v>84580</v>
      </c>
      <c r="N98" s="5">
        <v>100430</v>
      </c>
      <c r="O98" s="5">
        <f>0.013104*(1000000)</f>
        <v>13104</v>
      </c>
      <c r="P98" s="5">
        <f>0.034526*(1000000)</f>
        <v>34526</v>
      </c>
      <c r="Q98" s="5">
        <f>0.035154*(1000000)</f>
        <v>35154</v>
      </c>
      <c r="R98" s="5">
        <f>0.030011*(1000000)</f>
        <v>30011</v>
      </c>
      <c r="S98" s="5">
        <f>0.036896*(1000000)</f>
        <v>36896</v>
      </c>
      <c r="T98" s="8">
        <v>1265.2</v>
      </c>
      <c r="U98" s="8">
        <v>656.5</v>
      </c>
      <c r="V98" s="8">
        <v>2680</v>
      </c>
      <c r="W98" s="8">
        <v>408.3</v>
      </c>
      <c r="X98" s="8">
        <v>968.2</v>
      </c>
      <c r="Y98" s="8">
        <v>1385.9</v>
      </c>
    </row>
    <row r="99" spans="1:25" x14ac:dyDescent="0.25">
      <c r="A99" s="7">
        <v>39448</v>
      </c>
      <c r="B99" s="3">
        <f>(295.5*(1))*(1000)</f>
        <v>295500</v>
      </c>
      <c r="C99" s="3">
        <f>(320.5*(1))*(1000)</f>
        <v>320500</v>
      </c>
      <c r="D99" s="3">
        <f>(10563.3*(1))*(1000)</f>
        <v>10563300</v>
      </c>
      <c r="E99" s="3">
        <f>1615.3*(1000)</f>
        <v>1615300</v>
      </c>
      <c r="F99" s="3">
        <f>364.1*(1000)</f>
        <v>364100</v>
      </c>
      <c r="G99" s="3">
        <f>5822.2*(1000)</f>
        <v>5822200</v>
      </c>
      <c r="H99" s="3">
        <f>1931.9*(1000)</f>
        <v>1931900</v>
      </c>
      <c r="I99" s="3">
        <f>447.5*(1000)</f>
        <v>447500</v>
      </c>
      <c r="J99" s="3">
        <f>847.1*(1000)</f>
        <v>847100</v>
      </c>
      <c r="K99" s="3">
        <f>2353.2*(1000)</f>
        <v>2353200</v>
      </c>
      <c r="L99" s="5">
        <f>0.000089*(1000000)</f>
        <v>89</v>
      </c>
      <c r="M99" s="5">
        <f>0.085595*(1000000)</f>
        <v>85595</v>
      </c>
      <c r="N99" s="5">
        <v>100737</v>
      </c>
      <c r="O99" s="5">
        <f>0.012647*(1000000)</f>
        <v>12647</v>
      </c>
      <c r="P99" s="5">
        <f>0.034621*(1000000)</f>
        <v>34621</v>
      </c>
      <c r="Q99" s="5">
        <f>0.035646*(1000000)</f>
        <v>35646</v>
      </c>
      <c r="R99" s="5">
        <f>0.029457*(1000000)</f>
        <v>29457</v>
      </c>
      <c r="S99" s="5">
        <f>0.03648*(1000000)</f>
        <v>36480</v>
      </c>
      <c r="T99" s="8">
        <v>1261.3</v>
      </c>
      <c r="U99" s="8">
        <v>654.4</v>
      </c>
      <c r="V99" s="8">
        <v>2678.5</v>
      </c>
      <c r="W99" s="8">
        <v>411.1</v>
      </c>
      <c r="X99" s="8">
        <v>971.6</v>
      </c>
      <c r="Y99" s="8">
        <v>1391</v>
      </c>
    </row>
    <row r="100" spans="1:25" x14ac:dyDescent="0.25">
      <c r="A100" s="7">
        <v>39479</v>
      </c>
      <c r="B100" s="3">
        <f>(296.1*(1))*(1000)</f>
        <v>296100</v>
      </c>
      <c r="C100" s="3">
        <f>(319.7*(1))*(1000)</f>
        <v>319700</v>
      </c>
      <c r="D100" s="3">
        <f>(10593.9*(1))*(1000)</f>
        <v>10593900</v>
      </c>
      <c r="E100" s="3">
        <f>1619.2*(1000)</f>
        <v>1619200</v>
      </c>
      <c r="F100" s="3">
        <f>365.5*(1000)</f>
        <v>365500</v>
      </c>
      <c r="G100" s="3">
        <f>5819.2*(1000)</f>
        <v>5819200</v>
      </c>
      <c r="H100" s="3">
        <f>1937.8*(1000)</f>
        <v>1937800</v>
      </c>
      <c r="I100" s="3">
        <f>447.5*(1000)</f>
        <v>447500</v>
      </c>
      <c r="J100" s="3">
        <f>849.7*(1000)</f>
        <v>849700</v>
      </c>
      <c r="K100" s="3">
        <f>2358.1*(1000)</f>
        <v>2358100</v>
      </c>
      <c r="L100" s="5">
        <f>0.00017*(1000000)</f>
        <v>170</v>
      </c>
      <c r="M100" s="5">
        <f>0.085258*(1000000)</f>
        <v>85258</v>
      </c>
      <c r="N100" s="5">
        <v>104645</v>
      </c>
      <c r="O100" s="5">
        <f>0.013098*(1000000)</f>
        <v>13098</v>
      </c>
      <c r="P100" s="5">
        <f>0.034142*(1000000)</f>
        <v>34142</v>
      </c>
      <c r="Q100" s="5">
        <f>0.035419*(1000000)</f>
        <v>35419</v>
      </c>
      <c r="R100" s="5">
        <f>0.030302*(1000000)</f>
        <v>30302</v>
      </c>
      <c r="S100" s="5">
        <f>0.040431*(1000000)</f>
        <v>40431</v>
      </c>
      <c r="T100" s="8">
        <v>1261.9000000000001</v>
      </c>
      <c r="U100" s="8">
        <v>655.29999999999995</v>
      </c>
      <c r="V100" s="8">
        <v>2672.2</v>
      </c>
      <c r="W100" s="8">
        <v>412.1</v>
      </c>
      <c r="X100" s="8">
        <v>970.7</v>
      </c>
      <c r="Y100" s="8">
        <v>1392.5</v>
      </c>
    </row>
    <row r="101" spans="1:25" x14ac:dyDescent="0.25">
      <c r="A101" s="7">
        <v>39508</v>
      </c>
      <c r="B101" s="3">
        <f>(296.3*(1))*(1000)</f>
        <v>296300</v>
      </c>
      <c r="C101" s="3">
        <f>(319.6*(1))*(1000)</f>
        <v>319600</v>
      </c>
      <c r="D101" s="3">
        <f>(10585.4*(1))*(1000)</f>
        <v>10585400</v>
      </c>
      <c r="E101" s="3">
        <f>1619.7*(1000)</f>
        <v>1619700</v>
      </c>
      <c r="F101" s="3">
        <f>366.2*(1000)</f>
        <v>366200</v>
      </c>
      <c r="G101" s="3">
        <f>5813.4*(1000)</f>
        <v>5813400</v>
      </c>
      <c r="H101" s="3">
        <f>1937.1*(1000)</f>
        <v>1937100</v>
      </c>
      <c r="I101" s="3">
        <f>448.1*(1000)</f>
        <v>448100</v>
      </c>
      <c r="J101" s="3">
        <f>849.5*(1000)</f>
        <v>849500</v>
      </c>
      <c r="K101" s="3">
        <f>2357.2*(1000)</f>
        <v>2357200</v>
      </c>
      <c r="L101" s="5">
        <f>0.000173*(1000000)</f>
        <v>173</v>
      </c>
      <c r="M101" s="5">
        <f>0.09065*(1000000)</f>
        <v>90650</v>
      </c>
      <c r="N101" s="5">
        <v>107193</v>
      </c>
      <c r="O101" s="5">
        <f>0.013725*(1000000)</f>
        <v>13725</v>
      </c>
      <c r="P101" s="5">
        <f>0.034289*(1000000)</f>
        <v>34289</v>
      </c>
      <c r="Q101" s="5">
        <f>0.035008*(1000000)</f>
        <v>35008</v>
      </c>
      <c r="R101" s="5">
        <f>0.031176*(1000000)</f>
        <v>31176</v>
      </c>
      <c r="S101" s="5">
        <f>0.042619*(1000000)</f>
        <v>42619</v>
      </c>
      <c r="T101" s="8">
        <v>1260.4000000000001</v>
      </c>
      <c r="U101" s="8">
        <v>655.5</v>
      </c>
      <c r="V101" s="8">
        <v>2661.2</v>
      </c>
      <c r="W101" s="8">
        <v>411.9</v>
      </c>
      <c r="X101" s="8">
        <v>971.2</v>
      </c>
      <c r="Y101" s="8">
        <v>1393.4</v>
      </c>
    </row>
    <row r="102" spans="1:25" x14ac:dyDescent="0.25">
      <c r="A102" s="7">
        <v>39539</v>
      </c>
      <c r="B102" s="3">
        <f>(296.5*(1))*(1000)</f>
        <v>296500</v>
      </c>
      <c r="C102" s="3">
        <f>(319.8*(1))*(1000)</f>
        <v>319800</v>
      </c>
      <c r="D102" s="3">
        <f>(10606.1*(1))*(1000)</f>
        <v>10606100</v>
      </c>
      <c r="E102" s="3">
        <f>1619.4*(1000)</f>
        <v>1619400</v>
      </c>
      <c r="F102" s="3">
        <f>366.3*(1000)</f>
        <v>366300</v>
      </c>
      <c r="G102" s="3">
        <f>5824.3*(1000)</f>
        <v>5824300</v>
      </c>
      <c r="H102" s="3">
        <f>1938.4*(1000)</f>
        <v>1938400</v>
      </c>
      <c r="I102" s="3">
        <f>445.9*(1000)</f>
        <v>445900</v>
      </c>
      <c r="J102" s="3">
        <f>849.6*(1000)</f>
        <v>849600</v>
      </c>
      <c r="K102" s="3">
        <f>2360.7*(1000)</f>
        <v>2360700</v>
      </c>
      <c r="L102" s="5">
        <f>0.000354*(1000000)</f>
        <v>354</v>
      </c>
      <c r="M102" s="5">
        <f>0.097644*(1000000)</f>
        <v>97644</v>
      </c>
      <c r="N102" s="5">
        <v>107705</v>
      </c>
      <c r="O102" s="5">
        <f>0.013254*(1000000)</f>
        <v>13254</v>
      </c>
      <c r="P102" s="5">
        <f>0.033035*(1000000)</f>
        <v>33035</v>
      </c>
      <c r="Q102" s="5">
        <f>0.034152*(1000000)</f>
        <v>34152</v>
      </c>
      <c r="R102" s="5">
        <f>0.02936*(1000000)</f>
        <v>29360</v>
      </c>
      <c r="S102" s="5">
        <f>0.0439*(1000000)</f>
        <v>43900</v>
      </c>
      <c r="T102" s="8">
        <v>1260.0999999999999</v>
      </c>
      <c r="U102" s="8">
        <v>654.6</v>
      </c>
      <c r="V102" s="8">
        <v>2653.2</v>
      </c>
      <c r="W102" s="8">
        <v>411.1</v>
      </c>
      <c r="X102" s="8">
        <v>970.4</v>
      </c>
      <c r="Y102" s="8">
        <v>1396.3</v>
      </c>
    </row>
    <row r="103" spans="1:25" x14ac:dyDescent="0.25">
      <c r="A103" s="7">
        <v>39569</v>
      </c>
      <c r="B103" s="3">
        <f>(297.7*(1))*(1000)</f>
        <v>297700</v>
      </c>
      <c r="C103" s="3">
        <f>(320.9*(1))*(1000)</f>
        <v>320900</v>
      </c>
      <c r="D103" s="3">
        <f>(10613.8*(1))*(1000)</f>
        <v>10613800</v>
      </c>
      <c r="E103" s="3">
        <f>1617.7*(1000)</f>
        <v>1617700</v>
      </c>
      <c r="F103" s="3">
        <f>366.8*(1000)</f>
        <v>366800</v>
      </c>
      <c r="G103" s="3">
        <f>5820.7*(1000)</f>
        <v>5820700</v>
      </c>
      <c r="H103" s="3">
        <f>1939*(1000)</f>
        <v>1939000</v>
      </c>
      <c r="I103" s="3">
        <f>445.6*(1000)</f>
        <v>445600</v>
      </c>
      <c r="J103" s="3">
        <f>849.2*(1000)</f>
        <v>849200</v>
      </c>
      <c r="K103" s="3">
        <f>2362.7*(1000)</f>
        <v>2362700</v>
      </c>
      <c r="L103" s="5">
        <f>0.000491*(1000000)</f>
        <v>491</v>
      </c>
      <c r="M103" s="5">
        <f>0.105567*(1000000)</f>
        <v>105567</v>
      </c>
      <c r="N103" s="5">
        <v>109430</v>
      </c>
      <c r="O103" s="5">
        <f>0.012555*(1000000)</f>
        <v>12555</v>
      </c>
      <c r="P103" s="5">
        <f>0.033139*(1000000)</f>
        <v>33139</v>
      </c>
      <c r="Q103" s="5">
        <f>0.033849*(1000000)</f>
        <v>33849</v>
      </c>
      <c r="R103" s="5">
        <f>0.029019*(1000000)</f>
        <v>29019</v>
      </c>
      <c r="S103" s="5">
        <f>0.043648*(1000000)</f>
        <v>43648</v>
      </c>
      <c r="T103" s="8">
        <v>1258.2</v>
      </c>
      <c r="U103" s="8">
        <v>654.79999999999995</v>
      </c>
      <c r="V103" s="8">
        <v>2645.2</v>
      </c>
      <c r="W103" s="8">
        <v>411.6</v>
      </c>
      <c r="X103" s="8">
        <v>970.7</v>
      </c>
      <c r="Y103" s="8">
        <v>1396.9</v>
      </c>
    </row>
    <row r="104" spans="1:25" x14ac:dyDescent="0.25">
      <c r="A104" s="7">
        <v>39600</v>
      </c>
      <c r="B104" s="3">
        <f>(297.7*(1))*(1000)</f>
        <v>297700</v>
      </c>
      <c r="C104" s="3">
        <f>(321.6*(1))*(1000)</f>
        <v>321600</v>
      </c>
      <c r="D104" s="3">
        <f>(10620.7*(1))*(1000)</f>
        <v>10620700</v>
      </c>
      <c r="E104" s="3">
        <f>1615.5*(1000)</f>
        <v>1615500</v>
      </c>
      <c r="F104" s="3">
        <f>366.7*(1000)</f>
        <v>366700</v>
      </c>
      <c r="G104" s="3">
        <f>5817*(1000)</f>
        <v>5817000</v>
      </c>
      <c r="H104" s="3">
        <f>1939.7*(1000)</f>
        <v>1939700</v>
      </c>
      <c r="I104" s="3">
        <f>444.7*(1000)</f>
        <v>444700</v>
      </c>
      <c r="J104" s="3">
        <f>849.1*(1000)</f>
        <v>849100</v>
      </c>
      <c r="K104" s="3">
        <f>2359*(1000)</f>
        <v>2359000</v>
      </c>
      <c r="L104" s="5">
        <f>0.000789*(1000000)</f>
        <v>789</v>
      </c>
      <c r="M104" s="5">
        <f>0.115507*(1000000)</f>
        <v>115507</v>
      </c>
      <c r="N104" s="5">
        <v>109511</v>
      </c>
      <c r="O104" s="5">
        <f>0.012723*(1000000)</f>
        <v>12723</v>
      </c>
      <c r="P104" s="5">
        <f>0.032594*(1000000)</f>
        <v>32593.999999999996</v>
      </c>
      <c r="Q104" s="5">
        <f>0.034699*(1000000)</f>
        <v>34699</v>
      </c>
      <c r="R104" s="5">
        <f>0.031119*(1000000)</f>
        <v>31119</v>
      </c>
      <c r="S104" s="5">
        <f>0.045039*(1000000)</f>
        <v>45039</v>
      </c>
      <c r="T104" s="8">
        <v>1256.4000000000001</v>
      </c>
      <c r="U104" s="8">
        <v>653.20000000000005</v>
      </c>
      <c r="V104" s="8">
        <v>2635.8</v>
      </c>
      <c r="W104" s="8">
        <v>411.2</v>
      </c>
      <c r="X104" s="8">
        <v>969.2</v>
      </c>
      <c r="Y104" s="8">
        <v>1393.7</v>
      </c>
    </row>
    <row r="105" spans="1:25" x14ac:dyDescent="0.25">
      <c r="A105" s="7">
        <v>39630</v>
      </c>
      <c r="B105" s="3">
        <f>(298.1*(1))*(1000)</f>
        <v>298100</v>
      </c>
      <c r="C105" s="3">
        <f>(322.3*(1))*(1000)</f>
        <v>322300</v>
      </c>
      <c r="D105" s="3">
        <f>(10634.1*(1))*(1000)</f>
        <v>10634100</v>
      </c>
      <c r="E105" s="3">
        <f>1619.2*(1000)</f>
        <v>1619200</v>
      </c>
      <c r="F105" s="3">
        <f>368.7*(1000)</f>
        <v>368700</v>
      </c>
      <c r="G105" s="3">
        <f>5809.6*(1000)</f>
        <v>5809600</v>
      </c>
      <c r="H105" s="3">
        <f>1936.7*(1000)</f>
        <v>1936700</v>
      </c>
      <c r="I105" s="3">
        <f>445.3*(1000)</f>
        <v>445300</v>
      </c>
      <c r="J105" s="3">
        <f>847.4*(1000)</f>
        <v>847400</v>
      </c>
      <c r="K105" s="3">
        <f>2357.6*(1000)</f>
        <v>2357600</v>
      </c>
      <c r="L105" s="5">
        <f>0.000367*(1000000)</f>
        <v>367</v>
      </c>
      <c r="M105" s="5">
        <f>0.120685*(1000000)</f>
        <v>120685</v>
      </c>
      <c r="N105" s="5">
        <v>115091</v>
      </c>
      <c r="O105" s="5">
        <f>0.013344*(1000000)</f>
        <v>13344</v>
      </c>
      <c r="P105" s="5">
        <f>0.033904*(1000000)</f>
        <v>33904</v>
      </c>
      <c r="Q105" s="5">
        <f>0.033594*(1000000)</f>
        <v>33594</v>
      </c>
      <c r="R105" s="5">
        <f>0.031822*(1000000)</f>
        <v>31822.000000000004</v>
      </c>
      <c r="S105" s="5">
        <f>0.044085*(1000000)</f>
        <v>44085</v>
      </c>
      <c r="T105" s="8">
        <v>1255.2</v>
      </c>
      <c r="U105" s="8">
        <v>653.4</v>
      </c>
      <c r="V105" s="8">
        <v>2619.6999999999998</v>
      </c>
      <c r="W105" s="8">
        <v>411.1</v>
      </c>
      <c r="X105" s="8">
        <v>967.9</v>
      </c>
      <c r="Y105" s="8">
        <v>1393.4</v>
      </c>
    </row>
    <row r="106" spans="1:25" x14ac:dyDescent="0.25">
      <c r="A106" s="7">
        <v>39661</v>
      </c>
      <c r="B106" s="3">
        <f>(297.7*(1))*(1000)</f>
        <v>297700</v>
      </c>
      <c r="C106" s="3">
        <f>(322.1*(1))*(1000)</f>
        <v>322100</v>
      </c>
      <c r="D106" s="3">
        <f>(10638.1*(1))*(1000)</f>
        <v>10638100</v>
      </c>
      <c r="E106" s="3">
        <f>1620.1*(1000)</f>
        <v>1620100</v>
      </c>
      <c r="F106" s="3">
        <f>367.8*(1000)</f>
        <v>367800</v>
      </c>
      <c r="G106" s="3">
        <f>5808.7*(1000)</f>
        <v>5808700</v>
      </c>
      <c r="H106" s="3">
        <f>1944*(1000)</f>
        <v>1944000</v>
      </c>
      <c r="I106" s="3">
        <f>444.2*(1000)</f>
        <v>444200</v>
      </c>
      <c r="J106" s="3">
        <f>848.3*(1000)</f>
        <v>848300</v>
      </c>
      <c r="K106" s="3">
        <f>2356.4*(1000)</f>
        <v>2356400</v>
      </c>
      <c r="L106" s="5">
        <f>0.000309*(1000000)</f>
        <v>309</v>
      </c>
      <c r="M106" s="5">
        <f>0.127772*(1000000)</f>
        <v>127772</v>
      </c>
      <c r="N106" s="5">
        <v>117260</v>
      </c>
      <c r="O106" s="5">
        <f>0.012952*(1000000)</f>
        <v>12952</v>
      </c>
      <c r="P106" s="5">
        <f>0.034057*(1000000)</f>
        <v>34057</v>
      </c>
      <c r="Q106" s="5">
        <f>0.03316*(1000000)</f>
        <v>33160</v>
      </c>
      <c r="R106" s="5">
        <f>0.032663*(1000000)</f>
        <v>32662.999999999996</v>
      </c>
      <c r="S106" s="5">
        <f>0.045055*(1000000)</f>
        <v>45055</v>
      </c>
      <c r="T106" s="8">
        <v>1255.0999999999999</v>
      </c>
      <c r="U106" s="8">
        <v>650.70000000000005</v>
      </c>
      <c r="V106" s="8">
        <v>2617</v>
      </c>
      <c r="W106" s="8">
        <v>412.1</v>
      </c>
      <c r="X106" s="8">
        <v>969</v>
      </c>
      <c r="Y106" s="8">
        <v>1386.4</v>
      </c>
    </row>
    <row r="107" spans="1:25" x14ac:dyDescent="0.25">
      <c r="A107" s="7">
        <v>39692</v>
      </c>
      <c r="B107" s="3">
        <f>(298.6*(1))*(1000)</f>
        <v>298600</v>
      </c>
      <c r="C107" s="3">
        <f>(322.1*(1))*(1000)</f>
        <v>322100</v>
      </c>
      <c r="D107" s="3">
        <f>(10609.7*(1))*(1000)</f>
        <v>10609700</v>
      </c>
      <c r="E107" s="3">
        <f>1620.4*(1000)</f>
        <v>1620400</v>
      </c>
      <c r="F107" s="3">
        <f>368.3*(1000)</f>
        <v>368300</v>
      </c>
      <c r="G107" s="3">
        <f>5801.7*(1000)</f>
        <v>5801700</v>
      </c>
      <c r="H107" s="3">
        <f>1924.1*(1000)</f>
        <v>1924100</v>
      </c>
      <c r="I107" s="3">
        <f>443.5*(1000)</f>
        <v>443500</v>
      </c>
      <c r="J107" s="3">
        <f>848.8*(1000)</f>
        <v>848800</v>
      </c>
      <c r="K107" s="3">
        <f>2350.4*(1000)</f>
        <v>2350400</v>
      </c>
      <c r="L107" s="5">
        <f>0.000734*(1000000)</f>
        <v>734</v>
      </c>
      <c r="M107" s="5">
        <f>0.139767*(1000000)</f>
        <v>139767</v>
      </c>
      <c r="N107" s="5">
        <v>111560</v>
      </c>
      <c r="O107" s="5">
        <f>0.012901*(1000000)</f>
        <v>12901</v>
      </c>
      <c r="P107" s="5">
        <f>0.033742*(1000000)</f>
        <v>33742</v>
      </c>
      <c r="Q107" s="5">
        <f>0.032182*(1000000)</f>
        <v>32182.000000000004</v>
      </c>
      <c r="R107" s="5">
        <f>0.032027*(1000000)</f>
        <v>32027</v>
      </c>
      <c r="S107" s="5">
        <f>0.050272*(1000000)</f>
        <v>50272</v>
      </c>
      <c r="T107" s="8">
        <v>1252.5999999999999</v>
      </c>
      <c r="U107" s="8">
        <v>647.5</v>
      </c>
      <c r="V107" s="8">
        <v>2602.5</v>
      </c>
      <c r="W107" s="8">
        <v>412</v>
      </c>
      <c r="X107" s="8">
        <v>968.1</v>
      </c>
      <c r="Y107" s="8">
        <v>1390.6</v>
      </c>
    </row>
    <row r="108" spans="1:25" x14ac:dyDescent="0.25">
      <c r="A108" s="7">
        <v>39722</v>
      </c>
      <c r="B108" s="3">
        <f>(299.4*(1))*(1000)</f>
        <v>299400</v>
      </c>
      <c r="C108" s="3">
        <f>(321.5*(1))*(1000)</f>
        <v>321500</v>
      </c>
      <c r="D108" s="3">
        <f>(10622.2*(1))*(1000)</f>
        <v>10622200</v>
      </c>
      <c r="E108" s="3">
        <f>1619.5*(1000)</f>
        <v>1619500</v>
      </c>
      <c r="F108" s="3">
        <f>368.3*(1000)</f>
        <v>368300</v>
      </c>
      <c r="G108" s="3">
        <f>5782.6*(1000)</f>
        <v>5782600</v>
      </c>
      <c r="H108" s="3">
        <f>1940.6*(1000)</f>
        <v>1940600</v>
      </c>
      <c r="I108" s="3">
        <f>442.3*(1000)</f>
        <v>442300</v>
      </c>
      <c r="J108" s="3">
        <f>845.6*(1000)</f>
        <v>845600</v>
      </c>
      <c r="K108" s="3">
        <f>2340.9*(1000)</f>
        <v>2340900</v>
      </c>
      <c r="L108" s="5">
        <f>0.001141*(1000000)</f>
        <v>1141</v>
      </c>
      <c r="M108" s="5">
        <f>0.155873*(1000000)</f>
        <v>155873</v>
      </c>
      <c r="N108" s="5">
        <v>122337</v>
      </c>
      <c r="O108" s="5">
        <f>0.014165*(1000000)</f>
        <v>14165</v>
      </c>
      <c r="P108" s="5">
        <f>0.036676*(1000000)</f>
        <v>36676</v>
      </c>
      <c r="Q108" s="5">
        <f>0.034572*(1000000)</f>
        <v>34572</v>
      </c>
      <c r="R108" s="5">
        <f>0.034216*(1000000)</f>
        <v>34216</v>
      </c>
      <c r="S108" s="5">
        <f>0.048365*(1000000)</f>
        <v>48365</v>
      </c>
      <c r="T108" s="8">
        <v>1243.9000000000001</v>
      </c>
      <c r="U108" s="8">
        <v>640</v>
      </c>
      <c r="V108" s="8">
        <v>2583.3000000000002</v>
      </c>
      <c r="W108" s="8">
        <v>411.7</v>
      </c>
      <c r="X108" s="8">
        <v>969.3</v>
      </c>
      <c r="Y108" s="8">
        <v>1390</v>
      </c>
    </row>
    <row r="109" spans="1:25" x14ac:dyDescent="0.25">
      <c r="A109" s="7">
        <v>39753</v>
      </c>
      <c r="B109" s="3">
        <f>(298.4*(1))*(1000)</f>
        <v>298400</v>
      </c>
      <c r="C109" s="3">
        <f>(321.2*(1))*(1000)</f>
        <v>321200</v>
      </c>
      <c r="D109" s="3">
        <f>(10612.1*(1))*(1000)</f>
        <v>10612100</v>
      </c>
      <c r="E109" s="3">
        <f>1617*(1000)</f>
        <v>1617000</v>
      </c>
      <c r="F109" s="3">
        <f>368.9*(1000)</f>
        <v>368900</v>
      </c>
      <c r="G109" s="3">
        <f>5758.7*(1000)</f>
        <v>5758700</v>
      </c>
      <c r="H109" s="3">
        <f>1942.5*(1000)</f>
        <v>1942500</v>
      </c>
      <c r="I109" s="3">
        <f>441.5*(1000)</f>
        <v>441500</v>
      </c>
      <c r="J109" s="3">
        <f>842.4*(1000)</f>
        <v>842400</v>
      </c>
      <c r="K109" s="3">
        <f>2332.5*(1000)</f>
        <v>2332500</v>
      </c>
      <c r="L109" s="5">
        <f>0.001016*(1000000)</f>
        <v>1016</v>
      </c>
      <c r="M109" s="5">
        <f>0.167623*(1000000)</f>
        <v>167623</v>
      </c>
      <c r="N109" s="5">
        <v>128479.00000000001</v>
      </c>
      <c r="O109" s="5">
        <f>0.01458*(1000000)</f>
        <v>14580</v>
      </c>
      <c r="P109" s="5">
        <f>0.037625*(1000000)</f>
        <v>37625</v>
      </c>
      <c r="Q109" s="5">
        <f>0.035*(1000000)</f>
        <v>35000</v>
      </c>
      <c r="R109" s="5">
        <f>0.034894*(1000000)</f>
        <v>34894</v>
      </c>
      <c r="S109" s="5">
        <f>0.049806*(1000000)</f>
        <v>49806</v>
      </c>
      <c r="T109" s="8">
        <v>1236.8</v>
      </c>
      <c r="U109" s="8">
        <v>635</v>
      </c>
      <c r="V109" s="8">
        <v>2563.8000000000002</v>
      </c>
      <c r="W109" s="8">
        <v>410.7</v>
      </c>
      <c r="X109" s="8">
        <v>968</v>
      </c>
      <c r="Y109" s="8">
        <v>1386.4</v>
      </c>
    </row>
    <row r="110" spans="1:25" x14ac:dyDescent="0.25">
      <c r="A110" s="7">
        <v>39783</v>
      </c>
      <c r="B110" s="3">
        <f>(297.1*(1))*(1000)</f>
        <v>297100</v>
      </c>
      <c r="C110" s="3">
        <f>(322.7*(1))*(1000)</f>
        <v>322700</v>
      </c>
      <c r="D110" s="3">
        <f>(10580.3*(1))*(1000)</f>
        <v>10580300</v>
      </c>
      <c r="E110" s="3">
        <f>1616.6*(1000)</f>
        <v>1616600</v>
      </c>
      <c r="F110" s="3">
        <f>368.1*(1000)</f>
        <v>368100</v>
      </c>
      <c r="G110" s="3">
        <f>5741.8*(1000)</f>
        <v>5741800</v>
      </c>
      <c r="H110" s="3">
        <f>1940.6*(1000)</f>
        <v>1940600</v>
      </c>
      <c r="I110" s="3">
        <f>439.3*(1000)</f>
        <v>439300</v>
      </c>
      <c r="J110" s="3">
        <f>836.6*(1000)</f>
        <v>836600</v>
      </c>
      <c r="K110" s="3">
        <f>2318.7*(1000)</f>
        <v>2318700</v>
      </c>
      <c r="L110" s="5">
        <f>0.00084*(1000000)</f>
        <v>840</v>
      </c>
      <c r="M110" s="5">
        <f>0.157404*(1000000)</f>
        <v>157404</v>
      </c>
      <c r="N110" s="5">
        <v>129235.99999999999</v>
      </c>
      <c r="O110" s="5">
        <f>0.014884*(1000000)</f>
        <v>14884</v>
      </c>
      <c r="P110" s="5">
        <f>0.038669*(1000000)</f>
        <v>38669</v>
      </c>
      <c r="Q110" s="5">
        <f>0.035077*(1000000)</f>
        <v>35077</v>
      </c>
      <c r="R110" s="5">
        <f>0.035613*(1000000)</f>
        <v>35613</v>
      </c>
      <c r="S110" s="5">
        <f>0.047516*(1000000)</f>
        <v>47516</v>
      </c>
      <c r="T110" s="8">
        <v>1230.5999999999999</v>
      </c>
      <c r="U110" s="8">
        <v>631.6</v>
      </c>
      <c r="V110" s="8">
        <v>2540.6999999999998</v>
      </c>
      <c r="W110" s="8">
        <v>410.7</v>
      </c>
      <c r="X110" s="8">
        <v>967</v>
      </c>
      <c r="Y110" s="8">
        <v>1382.8</v>
      </c>
    </row>
    <row r="111" spans="1:25" x14ac:dyDescent="0.25">
      <c r="A111" s="7">
        <v>39814</v>
      </c>
      <c r="B111" s="3">
        <f>(294.8*(1))*(1000)</f>
        <v>294800</v>
      </c>
      <c r="C111" s="3">
        <f>(320.2*(1))*(1000)</f>
        <v>320200</v>
      </c>
      <c r="D111" s="3">
        <f>(10519.9*(1))*(1000)</f>
        <v>10519900</v>
      </c>
      <c r="E111" s="3">
        <f>1603.6*(1000)</f>
        <v>1603600</v>
      </c>
      <c r="F111" s="3">
        <f>366.2*(1000)</f>
        <v>366200</v>
      </c>
      <c r="G111" s="3">
        <f>5709.9*(1000)</f>
        <v>5709900</v>
      </c>
      <c r="H111" s="3">
        <f>1931.4*(1000)</f>
        <v>1931400</v>
      </c>
      <c r="I111" s="3">
        <f>434.2*(1000)</f>
        <v>434200</v>
      </c>
      <c r="J111" s="3">
        <f>829.1*(1000)</f>
        <v>829100</v>
      </c>
      <c r="K111" s="3">
        <f>2308.3*(1000)</f>
        <v>2308300</v>
      </c>
      <c r="L111" s="5">
        <f>0.000812*(1000000)</f>
        <v>812</v>
      </c>
      <c r="M111" s="5">
        <f>0.144742*(1000000)</f>
        <v>144742</v>
      </c>
      <c r="N111" s="5">
        <v>128403.99999999999</v>
      </c>
      <c r="O111" s="5">
        <f>0.015841*(1000000)</f>
        <v>15841.000000000002</v>
      </c>
      <c r="P111" s="5">
        <f>0.04054*(1000000)</f>
        <v>40540</v>
      </c>
      <c r="Q111" s="5">
        <f>0.034705*(1000000)</f>
        <v>34705</v>
      </c>
      <c r="R111" s="5">
        <f>0.03517*(1000000)</f>
        <v>35170</v>
      </c>
      <c r="S111" s="5">
        <f>0.048252*(1000000)</f>
        <v>48252</v>
      </c>
      <c r="T111" s="8">
        <v>1218.8</v>
      </c>
      <c r="U111" s="8">
        <v>625.6</v>
      </c>
      <c r="V111" s="8">
        <v>2517.1999999999998</v>
      </c>
      <c r="W111" s="8">
        <v>409.2</v>
      </c>
      <c r="X111" s="8">
        <v>962.6</v>
      </c>
      <c r="Y111" s="8">
        <v>1381.4</v>
      </c>
    </row>
    <row r="112" spans="1:25" x14ac:dyDescent="0.25">
      <c r="A112" s="7">
        <v>39845</v>
      </c>
      <c r="B112" s="3">
        <f>(292.3*(1))*(1000)</f>
        <v>292300</v>
      </c>
      <c r="C112" s="3">
        <f>(321*(1))*(1000)</f>
        <v>321000</v>
      </c>
      <c r="D112" s="3">
        <f>(10465.4*(1))*(1000)</f>
        <v>10465400</v>
      </c>
      <c r="E112" s="3">
        <f>1597.4*(1000)</f>
        <v>1597400</v>
      </c>
      <c r="F112" s="3">
        <f>366.4*(1000)</f>
        <v>366400</v>
      </c>
      <c r="G112" s="3">
        <f>5689.7*(1000)</f>
        <v>5689700</v>
      </c>
      <c r="H112" s="3">
        <f>1928.7*(1000)</f>
        <v>1928700</v>
      </c>
      <c r="I112" s="3">
        <f>432.6*(1000)</f>
        <v>432600</v>
      </c>
      <c r="J112" s="3">
        <f>825*(1000)</f>
        <v>825000</v>
      </c>
      <c r="K112" s="3">
        <f>2287.6*(1000)</f>
        <v>2287600</v>
      </c>
      <c r="L112" s="5">
        <f>0.00112*(1000000)</f>
        <v>1120</v>
      </c>
      <c r="M112" s="5">
        <f>0.15051*(1000000)</f>
        <v>150510</v>
      </c>
      <c r="N112" s="5">
        <v>128869.00000000001</v>
      </c>
      <c r="O112" s="5">
        <f>0.014917*(1000000)</f>
        <v>14917</v>
      </c>
      <c r="P112" s="5">
        <f>0.039298*(1000000)</f>
        <v>39298</v>
      </c>
      <c r="Q112" s="5">
        <f>0.035491*(1000000)</f>
        <v>35491</v>
      </c>
      <c r="R112" s="5">
        <f>0.037039*(1000000)</f>
        <v>37039</v>
      </c>
      <c r="S112" s="5">
        <f>0.049614*(1000000)</f>
        <v>49614</v>
      </c>
      <c r="T112" s="8">
        <v>1211</v>
      </c>
      <c r="U112" s="8">
        <v>619.70000000000005</v>
      </c>
      <c r="V112" s="8">
        <v>2491.3000000000002</v>
      </c>
      <c r="W112" s="8">
        <v>407.7</v>
      </c>
      <c r="X112" s="8">
        <v>959.5</v>
      </c>
      <c r="Y112" s="8">
        <v>1370.8</v>
      </c>
    </row>
    <row r="113" spans="1:25" x14ac:dyDescent="0.25">
      <c r="A113" s="7">
        <v>39873</v>
      </c>
      <c r="B113" s="3">
        <f>(290.5*(1))*(1000)</f>
        <v>290500</v>
      </c>
      <c r="C113" s="3">
        <f>(319.9*(1))*(1000)</f>
        <v>319900</v>
      </c>
      <c r="D113" s="3">
        <f>(10400.3*(1))*(1000)</f>
        <v>10400300</v>
      </c>
      <c r="E113" s="3">
        <f>1586.5*(1000)</f>
        <v>1586500</v>
      </c>
      <c r="F113" s="3">
        <f>365.6*(1000)</f>
        <v>365600</v>
      </c>
      <c r="G113" s="3">
        <f>5654.6*(1000)</f>
        <v>5654600</v>
      </c>
      <c r="H113" s="3">
        <f>1917.4*(1000)</f>
        <v>1917400</v>
      </c>
      <c r="I113" s="3">
        <f>428.7*(1000)</f>
        <v>428700</v>
      </c>
      <c r="J113" s="3">
        <f>818.8*(1000)</f>
        <v>818800</v>
      </c>
      <c r="K113" s="3">
        <f>2271.7*(1000)</f>
        <v>2271700</v>
      </c>
      <c r="L113" s="5">
        <f>0.001283*(1000000)</f>
        <v>1283</v>
      </c>
      <c r="M113" s="5">
        <f>0.154827*(1000000)</f>
        <v>154827</v>
      </c>
      <c r="N113" s="5">
        <v>129630</v>
      </c>
      <c r="O113" s="5">
        <f>0.015966*(1000000)</f>
        <v>15966.000000000002</v>
      </c>
      <c r="P113" s="5">
        <f>0.037629*(1000000)</f>
        <v>37629</v>
      </c>
      <c r="Q113" s="5">
        <f>0.034581*(1000000)</f>
        <v>34581</v>
      </c>
      <c r="R113" s="5">
        <f>0.036973*(1000000)</f>
        <v>36973</v>
      </c>
      <c r="S113" s="5">
        <f>0.050163*(1000000)</f>
        <v>50163</v>
      </c>
      <c r="T113" s="8">
        <v>1202.9000000000001</v>
      </c>
      <c r="U113" s="8">
        <v>615</v>
      </c>
      <c r="V113" s="8">
        <v>2472.1999999999998</v>
      </c>
      <c r="W113" s="8">
        <v>405.8</v>
      </c>
      <c r="X113" s="8">
        <v>956.3</v>
      </c>
      <c r="Y113" s="8">
        <v>1361.7</v>
      </c>
    </row>
    <row r="114" spans="1:25" x14ac:dyDescent="0.25">
      <c r="A114" s="7">
        <v>39904</v>
      </c>
      <c r="B114" s="3">
        <f>(287*(1))*(1000)</f>
        <v>287000</v>
      </c>
      <c r="C114" s="3">
        <f>(320.5*(1))*(1000)</f>
        <v>320500</v>
      </c>
      <c r="D114" s="3">
        <f>(10327.6*(1))*(1000)</f>
        <v>10327600</v>
      </c>
      <c r="E114" s="3">
        <f>1573.4*(1000)</f>
        <v>1573400</v>
      </c>
      <c r="F114" s="3">
        <f>362.8*(1000)</f>
        <v>362800</v>
      </c>
      <c r="G114" s="3">
        <f>5626.1*(1000)</f>
        <v>5626100</v>
      </c>
      <c r="H114" s="3">
        <f>1904*(1000)</f>
        <v>1904000</v>
      </c>
      <c r="I114" s="3">
        <f>429*(1000)</f>
        <v>429000</v>
      </c>
      <c r="J114" s="3">
        <f>813.7*(1000)</f>
        <v>813700</v>
      </c>
      <c r="K114" s="3">
        <f>2254.5*(1000)</f>
        <v>2254500</v>
      </c>
      <c r="L114" s="5">
        <f>0.00163*(1000000)</f>
        <v>1630</v>
      </c>
      <c r="M114" s="5">
        <f>0.156911*(1000000)</f>
        <v>156911</v>
      </c>
      <c r="N114" s="5">
        <v>127012.99999999999</v>
      </c>
      <c r="O114" s="5">
        <f>0.015242*(1000000)</f>
        <v>15242</v>
      </c>
      <c r="P114" s="5">
        <f>0.036481*(1000000)</f>
        <v>36481</v>
      </c>
      <c r="Q114" s="5">
        <f>0.033794*(1000000)</f>
        <v>33794</v>
      </c>
      <c r="R114" s="5">
        <f>0.035637*(1000000)</f>
        <v>35637</v>
      </c>
      <c r="S114" s="5">
        <f>0.045539*(1000000)</f>
        <v>45539</v>
      </c>
      <c r="T114" s="8">
        <v>1191.5999999999999</v>
      </c>
      <c r="U114" s="8">
        <v>610.6</v>
      </c>
      <c r="V114" s="8">
        <v>2448</v>
      </c>
      <c r="W114" s="8">
        <v>401.4</v>
      </c>
      <c r="X114" s="8">
        <v>949.8</v>
      </c>
      <c r="Y114" s="8">
        <v>1350.3</v>
      </c>
    </row>
    <row r="115" spans="1:25" x14ac:dyDescent="0.25">
      <c r="A115" s="7">
        <v>39934</v>
      </c>
      <c r="B115" s="3">
        <f>(288.2*(1))*(1000)</f>
        <v>288200</v>
      </c>
      <c r="C115" s="3">
        <f>(319.7*(1))*(1000)</f>
        <v>319700</v>
      </c>
      <c r="D115" s="3">
        <f>(10312.1*(1))*(1000)</f>
        <v>10312100</v>
      </c>
      <c r="E115" s="3">
        <f>1570.1*(1000)</f>
        <v>1570100</v>
      </c>
      <c r="F115" s="3">
        <f>366.6*(1000)</f>
        <v>366600</v>
      </c>
      <c r="G115" s="3">
        <f>5621.3*(1000)</f>
        <v>5621300</v>
      </c>
      <c r="H115" s="3">
        <f>1904.4*(1000)</f>
        <v>1904400</v>
      </c>
      <c r="I115" s="3">
        <f>429.2*(1000)</f>
        <v>429200</v>
      </c>
      <c r="J115" s="3">
        <f>813.8*(1000)</f>
        <v>813800</v>
      </c>
      <c r="K115" s="3">
        <f>2251.7*(1000)</f>
        <v>2251700</v>
      </c>
      <c r="L115" s="5">
        <f>0.001714*(1000000)</f>
        <v>1714</v>
      </c>
      <c r="M115" s="5">
        <f>0.165051*(1000000)</f>
        <v>165051</v>
      </c>
      <c r="N115" s="5">
        <v>124168</v>
      </c>
      <c r="O115" s="5">
        <f>0.01532*(1000000)</f>
        <v>15320</v>
      </c>
      <c r="P115" s="5">
        <f>0.035994*(1000000)</f>
        <v>35994</v>
      </c>
      <c r="Q115" s="5">
        <f>0.033031*(1000000)</f>
        <v>33031</v>
      </c>
      <c r="R115" s="5">
        <f>0.036176*(1000000)</f>
        <v>36176</v>
      </c>
      <c r="S115" s="5">
        <f>0.046392*(1000000)</f>
        <v>46392</v>
      </c>
      <c r="T115" s="8">
        <v>1190</v>
      </c>
      <c r="U115" s="8">
        <v>608.9</v>
      </c>
      <c r="V115" s="8">
        <v>2439.1</v>
      </c>
      <c r="W115" s="8">
        <v>404.8</v>
      </c>
      <c r="X115" s="8">
        <v>950</v>
      </c>
      <c r="Y115" s="8">
        <v>1346.1</v>
      </c>
    </row>
    <row r="116" spans="1:25" x14ac:dyDescent="0.25">
      <c r="A116" s="7">
        <v>39965</v>
      </c>
      <c r="B116" s="3">
        <f>(284.9*(1))*(1000)</f>
        <v>284900</v>
      </c>
      <c r="C116" s="3">
        <f>(319.6*(1))*(1000)</f>
        <v>319600</v>
      </c>
      <c r="D116" s="3">
        <f>(10283.7*(1))*(1000)</f>
        <v>10283700</v>
      </c>
      <c r="E116" s="3">
        <f>1565.9*(1000)</f>
        <v>1565900</v>
      </c>
      <c r="F116" s="3">
        <f>367*(1000)</f>
        <v>367000</v>
      </c>
      <c r="G116" s="3">
        <f>5606.2*(1000)</f>
        <v>5606200</v>
      </c>
      <c r="H116" s="3">
        <f>1896.7*(1000)</f>
        <v>1896700</v>
      </c>
      <c r="I116" s="3">
        <f>429.3*(1000)</f>
        <v>429300</v>
      </c>
      <c r="J116" s="3">
        <f>811.2*(1000)</f>
        <v>811200</v>
      </c>
      <c r="K116" s="3">
        <f>2239.9*(1000)</f>
        <v>2239900</v>
      </c>
      <c r="L116" s="5">
        <f>0.001356*(1000000)</f>
        <v>1356</v>
      </c>
      <c r="M116" s="5">
        <f>0.173279*(1000000)</f>
        <v>173279</v>
      </c>
      <c r="N116" s="5">
        <v>122869</v>
      </c>
      <c r="O116" s="5">
        <f>0.014582*(1000000)</f>
        <v>14582</v>
      </c>
      <c r="P116" s="5">
        <f>0.034102*(1000000)</f>
        <v>34102</v>
      </c>
      <c r="Q116" s="5">
        <f>0.033101*(1000000)</f>
        <v>33101</v>
      </c>
      <c r="R116" s="5">
        <f>0.035676*(1000000)</f>
        <v>35676</v>
      </c>
      <c r="S116" s="5">
        <f>0.047029*(1000000)</f>
        <v>47029</v>
      </c>
      <c r="T116" s="8">
        <v>1186.2</v>
      </c>
      <c r="U116" s="8">
        <v>609.4</v>
      </c>
      <c r="V116" s="8">
        <v>2427</v>
      </c>
      <c r="W116" s="8">
        <v>403.4</v>
      </c>
      <c r="X116" s="8">
        <v>947.7</v>
      </c>
      <c r="Y116" s="8">
        <v>1339.5</v>
      </c>
    </row>
    <row r="117" spans="1:25" x14ac:dyDescent="0.25">
      <c r="A117" s="7">
        <v>39995</v>
      </c>
      <c r="B117" s="3">
        <f>(283*(1))*(1000)</f>
        <v>283000</v>
      </c>
      <c r="C117" s="3">
        <f>(319.4*(1))*(1000)</f>
        <v>319400</v>
      </c>
      <c r="D117" s="3">
        <f>(10252*(1))*(1000)</f>
        <v>10252000</v>
      </c>
      <c r="E117" s="3">
        <f>1563.9*(1000)</f>
        <v>1563900</v>
      </c>
      <c r="F117" s="3">
        <f>366.2*(1000)</f>
        <v>366200</v>
      </c>
      <c r="G117" s="3">
        <f>5591.5*(1000)</f>
        <v>5591500</v>
      </c>
      <c r="H117" s="3">
        <f>1894.1*(1000)</f>
        <v>1894100</v>
      </c>
      <c r="I117" s="3">
        <f>428.3*(1000)</f>
        <v>428300</v>
      </c>
      <c r="J117" s="3">
        <f>809.3*(1000)</f>
        <v>809300</v>
      </c>
      <c r="K117" s="3">
        <f>2232.1*(1000)</f>
        <v>2232100</v>
      </c>
      <c r="L117" s="5">
        <f>0.001901*(1000000)</f>
        <v>1901</v>
      </c>
      <c r="M117" s="5">
        <f>0.185805*(1000000)</f>
        <v>185805</v>
      </c>
      <c r="N117" s="5">
        <v>121632</v>
      </c>
      <c r="O117" s="5">
        <f>0.014766*(1000000)</f>
        <v>14766</v>
      </c>
      <c r="P117" s="5">
        <f>0.03346*(1000000)</f>
        <v>33460</v>
      </c>
      <c r="Q117" s="5">
        <f>0.031435*(1000000)</f>
        <v>31434.999999999996</v>
      </c>
      <c r="R117" s="5">
        <f>0.03496*(1000000)</f>
        <v>34960</v>
      </c>
      <c r="S117" s="5">
        <f>0.045547*(1000000)</f>
        <v>45547</v>
      </c>
      <c r="T117" s="8">
        <v>1181</v>
      </c>
      <c r="U117" s="8">
        <v>605.70000000000005</v>
      </c>
      <c r="V117" s="8">
        <v>2419.9</v>
      </c>
      <c r="W117" s="8">
        <v>403.7</v>
      </c>
      <c r="X117" s="8">
        <v>949.3</v>
      </c>
      <c r="Y117" s="8">
        <v>1333.9</v>
      </c>
    </row>
    <row r="118" spans="1:25" x14ac:dyDescent="0.25">
      <c r="A118" s="7">
        <v>40026</v>
      </c>
      <c r="B118" s="3">
        <f>(281.6*(1))*(1000)</f>
        <v>281600</v>
      </c>
      <c r="C118" s="3">
        <f>(319.5*(1))*(1000)</f>
        <v>319500</v>
      </c>
      <c r="D118" s="3">
        <f>(10225.4*(1))*(1000)</f>
        <v>10225400</v>
      </c>
      <c r="E118" s="3">
        <f>1557.4*(1000)</f>
        <v>1557400</v>
      </c>
      <c r="F118" s="3">
        <f>366.1*(1000)</f>
        <v>366100</v>
      </c>
      <c r="G118" s="3">
        <f>5583.9*(1000)</f>
        <v>5583900</v>
      </c>
      <c r="H118" s="3">
        <f>1894.2*(1000)</f>
        <v>1894200</v>
      </c>
      <c r="I118" s="3">
        <f>427.6*(1000)</f>
        <v>427600</v>
      </c>
      <c r="J118" s="3">
        <f>809.8*(1000)</f>
        <v>809800</v>
      </c>
      <c r="K118" s="3">
        <f>2225.9*(1000)</f>
        <v>2225900</v>
      </c>
      <c r="L118" s="5">
        <f>0.002111*(1000000)</f>
        <v>2111</v>
      </c>
      <c r="M118" s="5">
        <f>0.188763*(1000000)</f>
        <v>188763</v>
      </c>
      <c r="N118" s="5">
        <v>122581</v>
      </c>
      <c r="O118" s="5">
        <f>0.015313*(1000000)</f>
        <v>15313</v>
      </c>
      <c r="P118" s="5">
        <f>0.033605*(1000000)</f>
        <v>33605</v>
      </c>
      <c r="Q118" s="5">
        <f>0.032415*(1000000)</f>
        <v>32415</v>
      </c>
      <c r="R118" s="5">
        <f>0.035499*(1000000)</f>
        <v>35499</v>
      </c>
      <c r="S118" s="5">
        <f>0.047139*(1000000)</f>
        <v>47139</v>
      </c>
      <c r="T118" s="8">
        <v>1178.9000000000001</v>
      </c>
      <c r="U118" s="8">
        <v>605</v>
      </c>
      <c r="V118" s="8">
        <v>2409.5</v>
      </c>
      <c r="W118" s="8">
        <v>402.4</v>
      </c>
      <c r="X118" s="8">
        <v>946.2</v>
      </c>
      <c r="Y118" s="8">
        <v>1329.9</v>
      </c>
    </row>
    <row r="119" spans="1:25" x14ac:dyDescent="0.25">
      <c r="A119" s="7">
        <v>40057</v>
      </c>
      <c r="B119" s="3">
        <f>(282.1*(1))*(1000)</f>
        <v>282100</v>
      </c>
      <c r="C119" s="3">
        <f>(319.8*(1))*(1000)</f>
        <v>319800</v>
      </c>
      <c r="D119" s="3">
        <f>(10223.7*(1))*(1000)</f>
        <v>10223700</v>
      </c>
      <c r="E119" s="3">
        <f>1552.7*(1000)</f>
        <v>1552700</v>
      </c>
      <c r="F119" s="3">
        <f>367.6*(1000)</f>
        <v>367600</v>
      </c>
      <c r="G119" s="3">
        <f>5581*(1000)</f>
        <v>5581000</v>
      </c>
      <c r="H119" s="3">
        <f>1892.7*(1000)</f>
        <v>1892700</v>
      </c>
      <c r="I119" s="3">
        <f>426.8*(1000)</f>
        <v>426800</v>
      </c>
      <c r="J119" s="3">
        <f>807.3*(1000)</f>
        <v>807300</v>
      </c>
      <c r="K119" s="3">
        <f>2222.3*(1000)</f>
        <v>2222300</v>
      </c>
      <c r="L119" s="5">
        <f>0.002977*(1000000)</f>
        <v>2977</v>
      </c>
      <c r="M119" s="5">
        <f>0.195166*(1000000)</f>
        <v>195166</v>
      </c>
      <c r="N119" s="5">
        <v>124529</v>
      </c>
      <c r="O119" s="5">
        <f>0.01444*(1000000)</f>
        <v>14440</v>
      </c>
      <c r="P119" s="5">
        <f>0.034593*(1000000)</f>
        <v>34593</v>
      </c>
      <c r="Q119" s="5">
        <f>0.032566*(1000000)</f>
        <v>32565.999999999996</v>
      </c>
      <c r="R119" s="5">
        <f>0.036513*(1000000)</f>
        <v>36513</v>
      </c>
      <c r="S119" s="5">
        <f>0.047287*(1000000)</f>
        <v>47287</v>
      </c>
      <c r="T119" s="8">
        <v>1178.3</v>
      </c>
      <c r="U119" s="8">
        <v>603.4</v>
      </c>
      <c r="V119" s="8">
        <v>2397.4</v>
      </c>
      <c r="W119" s="8">
        <v>402.5</v>
      </c>
      <c r="X119" s="8">
        <v>944</v>
      </c>
      <c r="Y119" s="8">
        <v>1328.5</v>
      </c>
    </row>
    <row r="120" spans="1:25" x14ac:dyDescent="0.25">
      <c r="A120" s="7">
        <v>40087</v>
      </c>
      <c r="B120" s="3">
        <f>(280.1*(1))*(1000)</f>
        <v>280100</v>
      </c>
      <c r="C120" s="3">
        <f>(320.1*(1))*(1000)</f>
        <v>320100</v>
      </c>
      <c r="D120" s="3">
        <f>(10214.3*(1))*(1000)</f>
        <v>10214300</v>
      </c>
      <c r="E120" s="3">
        <f>1548.8*(1000)</f>
        <v>1548800</v>
      </c>
      <c r="F120" s="3">
        <f>367.8*(1000)</f>
        <v>367800</v>
      </c>
      <c r="G120" s="3">
        <f>5580.9*(1000)</f>
        <v>5580900</v>
      </c>
      <c r="H120" s="3">
        <f>1885.7*(1000)</f>
        <v>1885700</v>
      </c>
      <c r="I120" s="3">
        <f>427.5*(1000)</f>
        <v>427500</v>
      </c>
      <c r="J120" s="3">
        <f>804.7*(1000)</f>
        <v>804700</v>
      </c>
      <c r="K120" s="3">
        <f>2219.9*(1000)</f>
        <v>2219900</v>
      </c>
      <c r="L120" s="5">
        <f>0.004834*(1000000)</f>
        <v>4834</v>
      </c>
      <c r="M120" s="5">
        <f>0.197746*(1000000)</f>
        <v>197746</v>
      </c>
      <c r="N120" s="5">
        <v>127789.99999999999</v>
      </c>
      <c r="O120" s="5">
        <f>0.014546*(1000000)</f>
        <v>14546</v>
      </c>
      <c r="P120" s="5">
        <f>0.034187*(1000000)</f>
        <v>34187</v>
      </c>
      <c r="Q120" s="5">
        <f>0.033472*(1000000)</f>
        <v>33472</v>
      </c>
      <c r="R120" s="5">
        <f>0.036444*(1000000)</f>
        <v>36444</v>
      </c>
      <c r="S120" s="5">
        <f>0.045619*(1000000)</f>
        <v>45619</v>
      </c>
      <c r="T120" s="8">
        <v>1177.3</v>
      </c>
      <c r="U120" s="8">
        <v>605</v>
      </c>
      <c r="V120" s="8">
        <v>2392.5</v>
      </c>
      <c r="W120" s="8">
        <v>401.2</v>
      </c>
      <c r="X120" s="8">
        <v>941.9</v>
      </c>
      <c r="Y120" s="8">
        <v>1325</v>
      </c>
    </row>
    <row r="121" spans="1:25" x14ac:dyDescent="0.25">
      <c r="A121" s="7">
        <v>40118</v>
      </c>
      <c r="B121" s="3">
        <f>(279.8*(1))*(1000)</f>
        <v>279800</v>
      </c>
      <c r="C121" s="3">
        <f>(320*(1))*(1000)</f>
        <v>320000</v>
      </c>
      <c r="D121" s="3">
        <f>(10213.1*(1))*(1000)</f>
        <v>10213100</v>
      </c>
      <c r="E121" s="3">
        <f>1546.9*(1000)</f>
        <v>1546900</v>
      </c>
      <c r="F121" s="3">
        <f>367.8*(1000)</f>
        <v>367800</v>
      </c>
      <c r="G121" s="3">
        <f>5585*(1000)</f>
        <v>5585000</v>
      </c>
      <c r="H121" s="3">
        <f>1886*(1000)</f>
        <v>1886000</v>
      </c>
      <c r="I121" s="3">
        <f>427.4*(1000)</f>
        <v>427400</v>
      </c>
      <c r="J121" s="3">
        <f>803.6*(1000)</f>
        <v>803600</v>
      </c>
      <c r="K121" s="3">
        <f>2217.7*(1000)</f>
        <v>2217700</v>
      </c>
      <c r="L121" s="5">
        <f>0.006531*(1000000)</f>
        <v>6531</v>
      </c>
      <c r="M121" s="5">
        <f>0.201667*(1000000)</f>
        <v>201667</v>
      </c>
      <c r="N121" s="5">
        <v>131945</v>
      </c>
      <c r="O121" s="5">
        <f>0.016112*(1000000)</f>
        <v>16112.000000000002</v>
      </c>
      <c r="P121" s="5">
        <f>0.035973*(1000000)</f>
        <v>35973</v>
      </c>
      <c r="Q121" s="5">
        <f>0.034244*(1000000)</f>
        <v>34244</v>
      </c>
      <c r="R121" s="5">
        <f>0.037549*(1000000)</f>
        <v>37549</v>
      </c>
      <c r="S121" s="5">
        <f>0.048541*(1000000)</f>
        <v>48541</v>
      </c>
      <c r="T121" s="8">
        <v>1175.8</v>
      </c>
      <c r="U121" s="8">
        <v>604.5</v>
      </c>
      <c r="V121" s="8">
        <v>2388.6</v>
      </c>
      <c r="W121" s="8">
        <v>401.7</v>
      </c>
      <c r="X121" s="8">
        <v>942.7</v>
      </c>
      <c r="Y121" s="8">
        <v>1326.3</v>
      </c>
    </row>
    <row r="122" spans="1:25" x14ac:dyDescent="0.25">
      <c r="A122" s="7">
        <v>40148</v>
      </c>
      <c r="B122" s="3">
        <f>(279.3*(1))*(1000)</f>
        <v>279300</v>
      </c>
      <c r="C122" s="3">
        <f>(319*(1))*(1000)</f>
        <v>319000</v>
      </c>
      <c r="D122" s="3">
        <f>(10207.1*(1))*(1000)</f>
        <v>10207100</v>
      </c>
      <c r="E122" s="3">
        <f>1544.8*(1000)</f>
        <v>1544800</v>
      </c>
      <c r="F122" s="3">
        <f>368.3*(1000)</f>
        <v>368300</v>
      </c>
      <c r="G122" s="3">
        <f>5580.5*(1000)</f>
        <v>5580500</v>
      </c>
      <c r="H122" s="3">
        <f>1878.6*(1000)</f>
        <v>1878600</v>
      </c>
      <c r="I122" s="3">
        <f>426.5*(1000)</f>
        <v>426500</v>
      </c>
      <c r="J122" s="3">
        <f>802.5*(1000)</f>
        <v>802500</v>
      </c>
      <c r="K122" s="3">
        <f>2213.8*(1000)</f>
        <v>2213800</v>
      </c>
      <c r="L122" s="5">
        <f>0.007058*(1000000)</f>
        <v>7058</v>
      </c>
      <c r="M122" s="5">
        <f>0.199808*(1000000)</f>
        <v>199808</v>
      </c>
      <c r="N122" s="5">
        <v>133474</v>
      </c>
      <c r="O122" s="5">
        <f>0.016299*(1000000)</f>
        <v>16299.000000000002</v>
      </c>
      <c r="P122" s="5">
        <f>0.035688*(1000000)</f>
        <v>35688</v>
      </c>
      <c r="Q122" s="5">
        <f>0.033268*(1000000)</f>
        <v>33268</v>
      </c>
      <c r="R122" s="5">
        <f>0.037939*(1000000)</f>
        <v>37939</v>
      </c>
      <c r="S122" s="5">
        <f>0.045882*(1000000)</f>
        <v>45882</v>
      </c>
      <c r="T122" s="8">
        <v>1174.2</v>
      </c>
      <c r="U122" s="8">
        <v>603.70000000000005</v>
      </c>
      <c r="V122" s="8">
        <v>2382.4</v>
      </c>
      <c r="W122" s="8">
        <v>400.7</v>
      </c>
      <c r="X122" s="8">
        <v>939.4</v>
      </c>
      <c r="Y122" s="8">
        <v>1324.1</v>
      </c>
    </row>
    <row r="123" spans="1:25" x14ac:dyDescent="0.25">
      <c r="A123" s="7">
        <v>40179</v>
      </c>
      <c r="B123" s="3">
        <f>(279*(1))*(1000)</f>
        <v>279000</v>
      </c>
      <c r="C123" s="3">
        <f>(320.6*(1))*(1000)</f>
        <v>320600</v>
      </c>
      <c r="D123" s="3">
        <f>(10232.2*(1))*(1000)</f>
        <v>10232200</v>
      </c>
      <c r="E123" s="3">
        <f>1542.9*(1000)</f>
        <v>1542900</v>
      </c>
      <c r="F123" s="3">
        <f>367.8*(1000)</f>
        <v>367800</v>
      </c>
      <c r="G123" s="3">
        <f>5579.4*(1000)</f>
        <v>5579400</v>
      </c>
      <c r="H123" s="3">
        <f>1876.3*(1000)</f>
        <v>1876300</v>
      </c>
      <c r="I123" s="3">
        <f>427.2*(1000)</f>
        <v>427200</v>
      </c>
      <c r="J123" s="3">
        <f>801.1*(1000)</f>
        <v>801100</v>
      </c>
      <c r="K123" s="3">
        <f>2211.3*(1000)</f>
        <v>2211300</v>
      </c>
      <c r="L123" s="5">
        <f>0.007723*(1000000)</f>
        <v>7723</v>
      </c>
      <c r="M123" s="5">
        <f>0.201263*(1000000)</f>
        <v>201263</v>
      </c>
      <c r="N123" s="5">
        <v>136658</v>
      </c>
      <c r="O123" s="5">
        <f>0.017668*(1000000)</f>
        <v>17668</v>
      </c>
      <c r="P123" s="5">
        <f>0.034761*(1000000)</f>
        <v>34761</v>
      </c>
      <c r="Q123" s="5">
        <f>0.033954*(1000000)</f>
        <v>33954</v>
      </c>
      <c r="R123" s="5">
        <f>0.039149*(1000000)</f>
        <v>39149</v>
      </c>
      <c r="S123" s="5">
        <f>0.049572*(1000000)</f>
        <v>49572</v>
      </c>
      <c r="T123" s="8">
        <v>1174.4000000000001</v>
      </c>
      <c r="U123" s="8">
        <v>600</v>
      </c>
      <c r="V123" s="8">
        <v>2382</v>
      </c>
      <c r="W123" s="8">
        <v>399.8</v>
      </c>
      <c r="X123" s="8">
        <v>939.6</v>
      </c>
      <c r="Y123" s="8">
        <v>1323</v>
      </c>
    </row>
    <row r="124" spans="1:25" x14ac:dyDescent="0.25">
      <c r="A124" s="7">
        <v>40210</v>
      </c>
      <c r="B124" s="3">
        <f>(279.6*(1))*(1000)</f>
        <v>279600</v>
      </c>
      <c r="C124" s="3">
        <f>(320*(1))*(1000)</f>
        <v>320000</v>
      </c>
      <c r="D124" s="3">
        <f>(10241.1*(1))*(1000)</f>
        <v>10241100</v>
      </c>
      <c r="E124" s="3">
        <f>1543.3*(1000)</f>
        <v>1543300</v>
      </c>
      <c r="F124" s="3">
        <f>369.5*(1000)</f>
        <v>369500</v>
      </c>
      <c r="G124" s="3">
        <f>5564.3*(1000)</f>
        <v>5564300</v>
      </c>
      <c r="H124" s="3">
        <f>1875*(1000)</f>
        <v>1875000</v>
      </c>
      <c r="I124" s="3">
        <f>426.7*(1000)</f>
        <v>426700</v>
      </c>
      <c r="J124" s="3">
        <f>802.5*(1000)</f>
        <v>802500</v>
      </c>
      <c r="K124" s="3">
        <f>2213.5*(1000)</f>
        <v>2213500</v>
      </c>
      <c r="L124" s="5">
        <f>0.007489*(1000000)</f>
        <v>7489</v>
      </c>
      <c r="M124" s="5">
        <f>0.220109*(1000000)</f>
        <v>220109</v>
      </c>
      <c r="N124" s="5">
        <v>141056</v>
      </c>
      <c r="O124" s="5">
        <f>0.018748*(1000000)</f>
        <v>18748</v>
      </c>
      <c r="P124" s="5">
        <f>0.036179*(1000000)</f>
        <v>36179</v>
      </c>
      <c r="Q124" s="5">
        <f>0.034756*(1000000)</f>
        <v>34756</v>
      </c>
      <c r="R124" s="5">
        <f>0.040687*(1000000)</f>
        <v>40687</v>
      </c>
      <c r="S124" s="5">
        <f>0.050825*(1000000)</f>
        <v>50825</v>
      </c>
      <c r="T124" s="8">
        <v>1172.9000000000001</v>
      </c>
      <c r="U124" s="8">
        <v>601.29999999999995</v>
      </c>
      <c r="V124" s="8">
        <v>2381.9</v>
      </c>
      <c r="W124" s="8">
        <v>399.4</v>
      </c>
      <c r="X124" s="8">
        <v>940.5</v>
      </c>
      <c r="Y124" s="8">
        <v>1319</v>
      </c>
    </row>
    <row r="125" spans="1:25" x14ac:dyDescent="0.25">
      <c r="A125" s="7">
        <v>40238</v>
      </c>
      <c r="B125" s="3">
        <f>(280*(1))*(1000)</f>
        <v>280000</v>
      </c>
      <c r="C125" s="3">
        <f>(320.3*(1))*(1000)</f>
        <v>320300</v>
      </c>
      <c r="D125" s="3">
        <f>(10269.8*(1))*(1000)</f>
        <v>10269800</v>
      </c>
      <c r="E125" s="3">
        <f>1545.8*(1000)</f>
        <v>1545800</v>
      </c>
      <c r="F125" s="3">
        <f>371.2*(1000)</f>
        <v>371200</v>
      </c>
      <c r="G125" s="3">
        <f>5587.2*(1000)</f>
        <v>5587200</v>
      </c>
      <c r="H125" s="3">
        <f>1880.8*(1000)</f>
        <v>1880800</v>
      </c>
      <c r="I125" s="3">
        <f>428.1*(1000)</f>
        <v>428100</v>
      </c>
      <c r="J125" s="3">
        <f>803.1*(1000)</f>
        <v>803100</v>
      </c>
      <c r="K125" s="3">
        <f>2215.2*(1000)</f>
        <v>2215200</v>
      </c>
      <c r="L125" s="5">
        <f>0.012198*(1000000)</f>
        <v>12198</v>
      </c>
      <c r="M125" s="5">
        <f>0.235855*(1000000)</f>
        <v>235855</v>
      </c>
      <c r="N125" s="5">
        <v>142772</v>
      </c>
      <c r="O125" s="5">
        <f>0.019123*(1000000)</f>
        <v>19123</v>
      </c>
      <c r="P125" s="5">
        <f>0.03627*(1000000)</f>
        <v>36270</v>
      </c>
      <c r="Q125" s="5">
        <f>0.034439*(1000000)</f>
        <v>34439</v>
      </c>
      <c r="R125" s="5">
        <f>0.041933*(1000000)</f>
        <v>41933</v>
      </c>
      <c r="S125" s="5">
        <f>0.051119*(1000000)</f>
        <v>51119</v>
      </c>
      <c r="T125" s="8">
        <v>1175.3</v>
      </c>
      <c r="U125" s="8">
        <v>602.6</v>
      </c>
      <c r="V125" s="8">
        <v>2384.1</v>
      </c>
      <c r="W125" s="8">
        <v>400.4</v>
      </c>
      <c r="X125" s="8">
        <v>940.7</v>
      </c>
      <c r="Y125" s="8">
        <v>1321.3</v>
      </c>
    </row>
    <row r="126" spans="1:25" x14ac:dyDescent="0.25">
      <c r="A126" s="7">
        <v>40269</v>
      </c>
      <c r="B126" s="3">
        <f>(281.4*(1))*(1000)</f>
        <v>281400</v>
      </c>
      <c r="C126" s="3">
        <f>(322.2*(1))*(1000)</f>
        <v>322200</v>
      </c>
      <c r="D126" s="3">
        <f>(10283.9*(1))*(1000)</f>
        <v>10283900</v>
      </c>
      <c r="E126" s="3">
        <f>1550.4*(1000)</f>
        <v>1550400</v>
      </c>
      <c r="F126" s="3">
        <f>374.4*(1000)</f>
        <v>374400</v>
      </c>
      <c r="G126" s="3">
        <f>5611.3*(1000)</f>
        <v>5611300</v>
      </c>
      <c r="H126" s="3">
        <f>1883.4*(1000)</f>
        <v>1883400</v>
      </c>
      <c r="I126" s="3">
        <f>427.6*(1000)</f>
        <v>427600</v>
      </c>
      <c r="J126" s="3">
        <f>804.7*(1000)</f>
        <v>804700</v>
      </c>
      <c r="K126" s="3">
        <f>2217.6*(1000)</f>
        <v>2217600</v>
      </c>
      <c r="L126" s="5">
        <f>0.015326*(1000000)</f>
        <v>15326</v>
      </c>
      <c r="M126" s="5">
        <f>0.243307*(1000000)</f>
        <v>243307</v>
      </c>
      <c r="N126" s="5">
        <v>146075</v>
      </c>
      <c r="O126" s="5">
        <f>0.019132*(1000000)</f>
        <v>19132</v>
      </c>
      <c r="P126" s="5">
        <f>0.036368*(1000000)</f>
        <v>36368</v>
      </c>
      <c r="Q126" s="5">
        <f>0.035069*(1000000)</f>
        <v>35069</v>
      </c>
      <c r="R126" s="5">
        <f>0.040027*(1000000)</f>
        <v>40027</v>
      </c>
      <c r="S126" s="5">
        <f>0.050484*(1000000)</f>
        <v>50484</v>
      </c>
      <c r="T126" s="8">
        <v>1179.2</v>
      </c>
      <c r="U126" s="8">
        <v>603.5</v>
      </c>
      <c r="V126" s="8">
        <v>2385.8000000000002</v>
      </c>
      <c r="W126" s="8">
        <v>401.7</v>
      </c>
      <c r="X126" s="8">
        <v>942.8</v>
      </c>
      <c r="Y126" s="8">
        <v>1326.7</v>
      </c>
    </row>
    <row r="127" spans="1:25" x14ac:dyDescent="0.25">
      <c r="A127" s="7">
        <v>40299</v>
      </c>
      <c r="B127" s="3">
        <f>(282.8*(1))*(1000)</f>
        <v>282800</v>
      </c>
      <c r="C127" s="3">
        <f>(323*(1))*(1000)</f>
        <v>323000</v>
      </c>
      <c r="D127" s="3">
        <f>(10349.9*(1))*(1000)</f>
        <v>10349900</v>
      </c>
      <c r="E127" s="3">
        <f>1559.9*(1000)</f>
        <v>1559900</v>
      </c>
      <c r="F127" s="3">
        <f>375*(1000)</f>
        <v>375000</v>
      </c>
      <c r="G127" s="3">
        <f>5637.6*(1000)</f>
        <v>5637600</v>
      </c>
      <c r="H127" s="3">
        <f>1889.3*(1000)</f>
        <v>1889300</v>
      </c>
      <c r="I127" s="3">
        <f>429.7*(1000)</f>
        <v>429700</v>
      </c>
      <c r="J127" s="3">
        <f>807.6*(1000)</f>
        <v>807600</v>
      </c>
      <c r="K127" s="3">
        <f>2226.8*(1000)</f>
        <v>2226800</v>
      </c>
      <c r="L127" s="5">
        <f>0.019229*(1000000)</f>
        <v>19229</v>
      </c>
      <c r="M127" s="5">
        <f>0.258638*(1000000)</f>
        <v>258637.99999999997</v>
      </c>
      <c r="N127" s="5">
        <v>152118</v>
      </c>
      <c r="O127" s="5">
        <f>0.020292*(1000000)</f>
        <v>20292</v>
      </c>
      <c r="P127" s="5">
        <f>0.037678*(1000000)</f>
        <v>37678</v>
      </c>
      <c r="Q127" s="5">
        <f>0.034205*(1000000)</f>
        <v>34205</v>
      </c>
      <c r="R127" s="5">
        <f>0.043017*(1000000)</f>
        <v>43017</v>
      </c>
      <c r="S127" s="5">
        <f>0.051137*(1000000)</f>
        <v>51137</v>
      </c>
      <c r="T127" s="8">
        <v>1183.5999999999999</v>
      </c>
      <c r="U127" s="8">
        <v>606.20000000000005</v>
      </c>
      <c r="V127" s="8">
        <v>2400.3000000000002</v>
      </c>
      <c r="W127" s="8">
        <v>403.3</v>
      </c>
      <c r="X127" s="8">
        <v>945.2</v>
      </c>
      <c r="Y127" s="8">
        <v>1331.4</v>
      </c>
    </row>
    <row r="128" spans="1:25" x14ac:dyDescent="0.25">
      <c r="A128" s="7">
        <v>40330</v>
      </c>
      <c r="B128" s="3">
        <f>(282.3*(1))*(1000)</f>
        <v>282300</v>
      </c>
      <c r="C128" s="3">
        <f>(325.2*(1))*(1000)</f>
        <v>325200</v>
      </c>
      <c r="D128" s="3">
        <f>(10352.9*(1))*(1000)</f>
        <v>10352900</v>
      </c>
      <c r="E128" s="3">
        <f>1562.3*(1000)</f>
        <v>1562300</v>
      </c>
      <c r="F128" s="3">
        <f>374.5*(1000)</f>
        <v>374500</v>
      </c>
      <c r="G128" s="3">
        <f>5638.1*(1000)</f>
        <v>5638100</v>
      </c>
      <c r="H128" s="3">
        <f>1895.5*(1000)</f>
        <v>1895500</v>
      </c>
      <c r="I128" s="3">
        <f>429*(1000)</f>
        <v>429000</v>
      </c>
      <c r="J128" s="3">
        <f>806.9*(1000)</f>
        <v>806900</v>
      </c>
      <c r="K128" s="3">
        <f>2223*(1000)</f>
        <v>2223000</v>
      </c>
      <c r="L128" s="5">
        <f>0.026127*(1000000)</f>
        <v>26127</v>
      </c>
      <c r="M128" s="5">
        <f>0.274796*(1000000)</f>
        <v>274796</v>
      </c>
      <c r="N128" s="5">
        <v>154136</v>
      </c>
      <c r="O128" s="5">
        <f>0.019102*(1000000)</f>
        <v>19102</v>
      </c>
      <c r="P128" s="5">
        <f>0.038958*(1000000)</f>
        <v>38958</v>
      </c>
      <c r="Q128" s="5">
        <f>0.033743*(1000000)</f>
        <v>33743</v>
      </c>
      <c r="R128" s="5">
        <f>0.042791*(1000000)</f>
        <v>42791</v>
      </c>
      <c r="S128" s="5">
        <f>0.049556*(1000000)</f>
        <v>49556</v>
      </c>
      <c r="T128" s="8">
        <v>1183.2</v>
      </c>
      <c r="U128" s="8">
        <v>602.79999999999995</v>
      </c>
      <c r="V128" s="8">
        <v>2389.4</v>
      </c>
      <c r="W128" s="8">
        <v>403.6</v>
      </c>
      <c r="X128" s="8">
        <v>947.3</v>
      </c>
      <c r="Y128" s="8">
        <v>1331.8</v>
      </c>
    </row>
    <row r="129" spans="1:25" x14ac:dyDescent="0.25">
      <c r="A129" s="7">
        <v>40360</v>
      </c>
      <c r="B129" s="3">
        <f>(281.4*(1))*(1000)</f>
        <v>281400</v>
      </c>
      <c r="C129" s="3">
        <f>(325.3*(1))*(1000)</f>
        <v>325300</v>
      </c>
      <c r="D129" s="3">
        <f>(10343.1*(1))*(1000)</f>
        <v>10343100</v>
      </c>
      <c r="E129" s="3">
        <f>1563.5*(1000)</f>
        <v>1563500</v>
      </c>
      <c r="F129" s="3">
        <f>375.2*(1000)</f>
        <v>375200</v>
      </c>
      <c r="G129" s="3">
        <f>5629.6*(1000)</f>
        <v>5629600</v>
      </c>
      <c r="H129" s="3">
        <f>1885.6*(1000)</f>
        <v>1885600</v>
      </c>
      <c r="I129" s="3">
        <f>429.2*(1000)</f>
        <v>429200</v>
      </c>
      <c r="J129" s="3">
        <f>805.9*(1000)</f>
        <v>805900</v>
      </c>
      <c r="K129" s="3">
        <f>2225.5*(1000)</f>
        <v>2225500</v>
      </c>
      <c r="L129" s="5">
        <f>0.030533*(1000000)</f>
        <v>30533</v>
      </c>
      <c r="M129" s="5">
        <f>0.283281*(1000000)</f>
        <v>283281</v>
      </c>
      <c r="N129" s="5">
        <v>160674</v>
      </c>
      <c r="O129" s="5">
        <f>0.019912*(1000000)</f>
        <v>19912</v>
      </c>
      <c r="P129" s="5">
        <f>0.040389*(1000000)</f>
        <v>40389</v>
      </c>
      <c r="Q129" s="5">
        <f>0.03524*(1000000)</f>
        <v>35240</v>
      </c>
      <c r="R129" s="5">
        <f>0.043502*(1000000)</f>
        <v>43502</v>
      </c>
      <c r="S129" s="5">
        <f>0.045256*(1000000)</f>
        <v>45256</v>
      </c>
      <c r="T129" s="8">
        <v>1184.5999999999999</v>
      </c>
      <c r="U129" s="8">
        <v>603.9</v>
      </c>
      <c r="V129" s="8">
        <v>2384.6</v>
      </c>
      <c r="W129" s="8">
        <v>404.2</v>
      </c>
      <c r="X129" s="8">
        <v>948.5</v>
      </c>
      <c r="Y129" s="8">
        <v>1333.3</v>
      </c>
    </row>
    <row r="130" spans="1:25" x14ac:dyDescent="0.25">
      <c r="A130" s="7">
        <v>40391</v>
      </c>
      <c r="B130" s="3">
        <f>(282.2*(1))*(1000)</f>
        <v>282200</v>
      </c>
      <c r="C130" s="3">
        <f>(325*(1))*(1000)</f>
        <v>325000</v>
      </c>
      <c r="D130" s="3">
        <f>(10352.3*(1))*(1000)</f>
        <v>10352300</v>
      </c>
      <c r="E130" s="3">
        <f>1557.7*(1000)</f>
        <v>1557700</v>
      </c>
      <c r="F130" s="3">
        <f>376.6*(1000)</f>
        <v>376600</v>
      </c>
      <c r="G130" s="3">
        <f>5635.9*(1000)</f>
        <v>5635900</v>
      </c>
      <c r="H130" s="3">
        <f>1884.3*(1000)</f>
        <v>1884300</v>
      </c>
      <c r="I130" s="3">
        <f>429.1*(1000)</f>
        <v>429100</v>
      </c>
      <c r="J130" s="3">
        <f>803.8*(1000)</f>
        <v>803800</v>
      </c>
      <c r="K130" s="3">
        <f>2224.8*(1000)</f>
        <v>2224800</v>
      </c>
      <c r="L130" s="5">
        <f>0.034481*(1000000)</f>
        <v>34481</v>
      </c>
      <c r="M130" s="5">
        <f>0.291353*(1000000)</f>
        <v>291353</v>
      </c>
      <c r="N130" s="5">
        <v>166107</v>
      </c>
      <c r="O130" s="5">
        <f>0.021514*(1000000)</f>
        <v>21514</v>
      </c>
      <c r="P130" s="5">
        <f>0.040297*(1000000)</f>
        <v>40297</v>
      </c>
      <c r="Q130" s="5">
        <f>0.035512*(1000000)</f>
        <v>35512</v>
      </c>
      <c r="R130" s="5">
        <f>0.04372*(1000000)</f>
        <v>43720</v>
      </c>
      <c r="S130" s="5">
        <f>0.053272*(1000000)</f>
        <v>53272</v>
      </c>
      <c r="T130" s="8">
        <v>1183.9000000000001</v>
      </c>
      <c r="U130" s="8">
        <v>604.5</v>
      </c>
      <c r="V130" s="8">
        <v>2380.3000000000002</v>
      </c>
      <c r="W130" s="8">
        <v>404.9</v>
      </c>
      <c r="X130" s="8">
        <v>948.1</v>
      </c>
      <c r="Y130" s="8">
        <v>1334.3</v>
      </c>
    </row>
    <row r="131" spans="1:25" x14ac:dyDescent="0.25">
      <c r="A131" s="7">
        <v>40422</v>
      </c>
      <c r="B131" s="3">
        <f>(283.3*(1))*(1000)</f>
        <v>283300</v>
      </c>
      <c r="C131" s="3">
        <f>(325.3*(1))*(1000)</f>
        <v>325300</v>
      </c>
      <c r="D131" s="3">
        <f>(10351.1*(1))*(1000)</f>
        <v>10351100</v>
      </c>
      <c r="E131" s="3">
        <f>1552.3*(1000)</f>
        <v>1552300</v>
      </c>
      <c r="F131" s="3">
        <f>378*(1000)</f>
        <v>378000</v>
      </c>
      <c r="G131" s="3">
        <f>5631.4*(1000)</f>
        <v>5631400</v>
      </c>
      <c r="H131" s="3">
        <f>1882.1*(1000)</f>
        <v>1882100</v>
      </c>
      <c r="I131" s="3">
        <f>427.7*(1000)</f>
        <v>427700</v>
      </c>
      <c r="J131" s="3">
        <f>797.7*(1000)</f>
        <v>797700</v>
      </c>
      <c r="K131" s="3">
        <f>2220.2*(1000)</f>
        <v>2220200</v>
      </c>
      <c r="L131" s="5">
        <f>0.042878*(1000000)</f>
        <v>42878</v>
      </c>
      <c r="M131" s="5">
        <f>0.30542*(1000000)</f>
        <v>305420</v>
      </c>
      <c r="N131" s="5">
        <v>169972</v>
      </c>
      <c r="O131" s="5">
        <f>0.023017*(1000000)</f>
        <v>23017</v>
      </c>
      <c r="P131" s="5">
        <f>0.042869*(1000000)</f>
        <v>42869</v>
      </c>
      <c r="Q131" s="5">
        <f>0.034533*(1000000)</f>
        <v>34533</v>
      </c>
      <c r="R131" s="5">
        <f>0.04302*(1000000)</f>
        <v>43020</v>
      </c>
      <c r="S131" s="5">
        <f>0.054515*(1000000)</f>
        <v>54515</v>
      </c>
      <c r="T131" s="8">
        <v>1184.7</v>
      </c>
      <c r="U131" s="8">
        <v>602.29999999999995</v>
      </c>
      <c r="V131" s="8">
        <v>2374.5</v>
      </c>
      <c r="W131" s="8">
        <v>404.8</v>
      </c>
      <c r="X131" s="8">
        <v>945.7</v>
      </c>
      <c r="Y131" s="8">
        <v>1327</v>
      </c>
    </row>
    <row r="132" spans="1:25" x14ac:dyDescent="0.25">
      <c r="A132" s="7">
        <v>40452</v>
      </c>
      <c r="B132" s="3">
        <f>(284.1*(1))*(1000)</f>
        <v>284100</v>
      </c>
      <c r="C132" s="3">
        <f>(326.3*(1))*(1000)</f>
        <v>326300</v>
      </c>
      <c r="D132" s="3">
        <f>(10403.6*(1))*(1000)</f>
        <v>10403600</v>
      </c>
      <c r="E132" s="3">
        <f>1561.1*(1000)</f>
        <v>1561100</v>
      </c>
      <c r="F132" s="3">
        <f>381.6*(1000)</f>
        <v>381600</v>
      </c>
      <c r="G132" s="3">
        <f>5649.8*(1000)</f>
        <v>5649800</v>
      </c>
      <c r="H132" s="3">
        <f>1885.6*(1000)</f>
        <v>1885600</v>
      </c>
      <c r="I132" s="3">
        <f>428.3*(1000)</f>
        <v>428300</v>
      </c>
      <c r="J132" s="3">
        <f>800.8*(1000)</f>
        <v>800800</v>
      </c>
      <c r="K132" s="3">
        <f>2228.4*(1000)</f>
        <v>2228400</v>
      </c>
      <c r="L132" s="5">
        <f>0.049889*(1000000)</f>
        <v>49889</v>
      </c>
      <c r="M132" s="5">
        <f>0.305919*(1000000)</f>
        <v>305919</v>
      </c>
      <c r="N132" s="5">
        <v>174302</v>
      </c>
      <c r="O132" s="5">
        <f>0.025825*(1000000)</f>
        <v>25825</v>
      </c>
      <c r="P132" s="5">
        <f>0.043777*(1000000)</f>
        <v>43777</v>
      </c>
      <c r="Q132" s="5">
        <f>0.036475*(1000000)</f>
        <v>36475</v>
      </c>
      <c r="R132" s="5">
        <f>0.044689*(1000000)</f>
        <v>44689</v>
      </c>
      <c r="S132" s="5">
        <f>0.053698*(1000000)</f>
        <v>53698</v>
      </c>
      <c r="T132" s="8">
        <v>1188.5</v>
      </c>
      <c r="U132" s="8">
        <v>605.20000000000005</v>
      </c>
      <c r="V132" s="8">
        <v>2386.6</v>
      </c>
      <c r="W132" s="8">
        <v>405.4</v>
      </c>
      <c r="X132" s="8">
        <v>947.8</v>
      </c>
      <c r="Y132" s="8">
        <v>1333.2</v>
      </c>
    </row>
    <row r="133" spans="1:25" x14ac:dyDescent="0.25">
      <c r="A133" s="7">
        <v>40483</v>
      </c>
      <c r="B133" s="3">
        <f>(282.8*(1))*(1000)</f>
        <v>282800</v>
      </c>
      <c r="C133" s="3">
        <f>(327*(1))*(1000)</f>
        <v>327000</v>
      </c>
      <c r="D133" s="3">
        <f>(10413.8*(1))*(1000)</f>
        <v>10413800</v>
      </c>
      <c r="E133" s="3">
        <f>1563.1*(1000)</f>
        <v>1563100</v>
      </c>
      <c r="F133" s="3">
        <f>382.6*(1000)</f>
        <v>382600</v>
      </c>
      <c r="G133" s="3">
        <f>5655.4*(1000)</f>
        <v>5655400</v>
      </c>
      <c r="H133" s="3">
        <f>1885*(1000)</f>
        <v>1885000</v>
      </c>
      <c r="I133" s="3">
        <f>427.2*(1000)</f>
        <v>427200</v>
      </c>
      <c r="J133" s="3">
        <f>800.8*(1000)</f>
        <v>800800</v>
      </c>
      <c r="K133" s="3">
        <f>2229*(1000)</f>
        <v>2229000</v>
      </c>
      <c r="L133" s="5">
        <f>0.066481*(1000000)</f>
        <v>66481</v>
      </c>
      <c r="M133" s="5">
        <f>0.320893*(1000000)</f>
        <v>320893</v>
      </c>
      <c r="N133" s="5">
        <v>182422</v>
      </c>
      <c r="O133" s="5">
        <f>0.026746*(1000000)</f>
        <v>26746</v>
      </c>
      <c r="P133" s="5">
        <f>0.0435*(1000000)</f>
        <v>43500</v>
      </c>
      <c r="Q133" s="5">
        <f>0.036719*(1000000)</f>
        <v>36719</v>
      </c>
      <c r="R133" s="5">
        <f>0.04534*(1000000)</f>
        <v>45340</v>
      </c>
      <c r="S133" s="5">
        <f>0.055959*(1000000)</f>
        <v>55959</v>
      </c>
      <c r="T133" s="8">
        <v>1189.4000000000001</v>
      </c>
      <c r="U133" s="8">
        <v>605.6</v>
      </c>
      <c r="V133" s="8">
        <v>2389.8000000000002</v>
      </c>
      <c r="W133" s="8">
        <v>405.5</v>
      </c>
      <c r="X133" s="8">
        <v>946.1</v>
      </c>
      <c r="Y133" s="8">
        <v>1329.2</v>
      </c>
    </row>
    <row r="134" spans="1:25" x14ac:dyDescent="0.25">
      <c r="A134" s="7">
        <v>40513</v>
      </c>
      <c r="B134" s="3">
        <f>(283.1*(1))*(1000)</f>
        <v>283100</v>
      </c>
      <c r="C134" s="3">
        <f>(327.2*(1))*(1000)</f>
        <v>327200</v>
      </c>
      <c r="D134" s="3">
        <f>(10435.6*(1))*(1000)</f>
        <v>10435600</v>
      </c>
      <c r="E134" s="3">
        <f>1566.6*(1000)</f>
        <v>1566600</v>
      </c>
      <c r="F134" s="3">
        <f>384*(1000)</f>
        <v>384000</v>
      </c>
      <c r="G134" s="3">
        <f>5659.5*(1000)</f>
        <v>5659500</v>
      </c>
      <c r="H134" s="3">
        <f>1889.2*(1000)</f>
        <v>1889200</v>
      </c>
      <c r="I134" s="3">
        <f>427.3*(1000)</f>
        <v>427300</v>
      </c>
      <c r="J134" s="3">
        <f>802*(1000)</f>
        <v>802000</v>
      </c>
      <c r="K134" s="3">
        <f>2232.8*(1000)</f>
        <v>2232800</v>
      </c>
      <c r="L134" s="5">
        <f>0.087446*(1000000)</f>
        <v>87446</v>
      </c>
      <c r="M134" s="5">
        <f>0.309384*(1000000)</f>
        <v>309384</v>
      </c>
      <c r="N134" s="5">
        <v>191881</v>
      </c>
      <c r="O134" s="5">
        <f>0.023558*(1000000)</f>
        <v>23558</v>
      </c>
      <c r="P134" s="5">
        <f>0.044438*(1000000)</f>
        <v>44438</v>
      </c>
      <c r="Q134" s="5">
        <f>0.036931*(1000000)</f>
        <v>36931</v>
      </c>
      <c r="R134" s="5">
        <f>0.044138*(1000000)</f>
        <v>44138</v>
      </c>
      <c r="S134" s="5">
        <f>0.060684*(1000000)</f>
        <v>60684</v>
      </c>
      <c r="T134" s="8">
        <v>1191.8</v>
      </c>
      <c r="U134" s="8">
        <v>605.1</v>
      </c>
      <c r="V134" s="8">
        <v>2393.5</v>
      </c>
      <c r="W134" s="8">
        <v>404.7</v>
      </c>
      <c r="X134" s="8">
        <v>948</v>
      </c>
      <c r="Y134" s="8">
        <v>1331</v>
      </c>
    </row>
    <row r="135" spans="1:25" x14ac:dyDescent="0.25">
      <c r="A135" s="7">
        <v>40544</v>
      </c>
      <c r="B135" s="3">
        <f>(282.6*(1))*(1000)</f>
        <v>282600</v>
      </c>
      <c r="C135" s="3">
        <f>(328.4*(1))*(1000)</f>
        <v>328400</v>
      </c>
      <c r="D135" s="3">
        <f>(10448.6*(1))*(1000)</f>
        <v>10448600</v>
      </c>
      <c r="E135" s="3">
        <f>1563.5*(1000)</f>
        <v>1563500</v>
      </c>
      <c r="F135" s="3">
        <f>385.5*(1000)</f>
        <v>385500</v>
      </c>
      <c r="G135" s="3">
        <f>5664.9*(1000)</f>
        <v>5664900</v>
      </c>
      <c r="H135" s="3">
        <f>1892.5*(1000)</f>
        <v>1892500</v>
      </c>
      <c r="I135" s="3">
        <f>427.4*(1000)</f>
        <v>427400</v>
      </c>
      <c r="J135" s="3">
        <f>799.9*(1000)</f>
        <v>799900</v>
      </c>
      <c r="K135" s="3">
        <f>2239.9*(1000)</f>
        <v>2239900</v>
      </c>
      <c r="L135" s="5">
        <f>0.093118*(1000000)</f>
        <v>93118</v>
      </c>
      <c r="M135" s="5">
        <f>0.308362*(1000000)</f>
        <v>308362</v>
      </c>
      <c r="N135" s="5">
        <v>197327</v>
      </c>
      <c r="O135" s="5">
        <f>0.026065*(1000000)</f>
        <v>26065</v>
      </c>
      <c r="P135" s="5">
        <f>0.045361*(1000000)</f>
        <v>45361</v>
      </c>
      <c r="Q135" s="5">
        <f>0.036827*(1000000)</f>
        <v>36827</v>
      </c>
      <c r="R135" s="5">
        <f>0.047728*(1000000)</f>
        <v>47728</v>
      </c>
      <c r="S135" s="5">
        <f>0.057192*(1000000)</f>
        <v>57192</v>
      </c>
      <c r="T135" s="8">
        <v>1193</v>
      </c>
      <c r="U135" s="8">
        <v>606.29999999999995</v>
      </c>
      <c r="V135" s="8">
        <v>2398.9</v>
      </c>
      <c r="W135" s="8">
        <v>404.5</v>
      </c>
      <c r="X135" s="8">
        <v>947.4</v>
      </c>
      <c r="Y135" s="8">
        <v>1337.9</v>
      </c>
    </row>
    <row r="136" spans="1:25" x14ac:dyDescent="0.25">
      <c r="A136" s="7">
        <v>40575</v>
      </c>
      <c r="B136" s="3">
        <f>(283*(1))*(1000)</f>
        <v>283000</v>
      </c>
      <c r="C136" s="3">
        <f>(327.8*(1))*(1000)</f>
        <v>327800</v>
      </c>
      <c r="D136" s="3">
        <f>(10455.2*(1))*(1000)</f>
        <v>10455200</v>
      </c>
      <c r="E136" s="3">
        <f>1556.5*(1000)</f>
        <v>1556500</v>
      </c>
      <c r="F136" s="3">
        <f>386.3*(1000)</f>
        <v>386300</v>
      </c>
      <c r="G136" s="3">
        <f>5668.1*(1000)</f>
        <v>5668100</v>
      </c>
      <c r="H136" s="3">
        <f>1897.2*(1000)</f>
        <v>1897200</v>
      </c>
      <c r="I136" s="3">
        <f>428.6*(1000)</f>
        <v>428600</v>
      </c>
      <c r="J136" s="3">
        <f>802.5*(1000)</f>
        <v>802500</v>
      </c>
      <c r="K136" s="3">
        <f>2238.3*(1000)</f>
        <v>2238300</v>
      </c>
      <c r="L136" s="5">
        <f>0.105157*(1000000)</f>
        <v>105157</v>
      </c>
      <c r="M136" s="5">
        <f>0.317137*(1000000)</f>
        <v>317137</v>
      </c>
      <c r="N136" s="5">
        <v>186793</v>
      </c>
      <c r="O136" s="5">
        <f>0.023608*(1000000)</f>
        <v>23608</v>
      </c>
      <c r="P136" s="5">
        <f>0.041881*(1000000)</f>
        <v>41881</v>
      </c>
      <c r="Q136" s="5">
        <f>0.03475*(1000000)</f>
        <v>34750</v>
      </c>
      <c r="R136" s="5">
        <f>0.040898*(1000000)</f>
        <v>40898</v>
      </c>
      <c r="S136" s="5">
        <f>0.057236*(1000000)</f>
        <v>57236</v>
      </c>
      <c r="T136" s="8">
        <v>1195.4000000000001</v>
      </c>
      <c r="U136" s="8">
        <v>606.6</v>
      </c>
      <c r="V136" s="8">
        <v>2399</v>
      </c>
      <c r="W136" s="8">
        <v>405</v>
      </c>
      <c r="X136" s="8">
        <v>947.3</v>
      </c>
      <c r="Y136" s="8">
        <v>1331.3</v>
      </c>
    </row>
    <row r="137" spans="1:25" x14ac:dyDescent="0.25">
      <c r="A137" s="7">
        <v>40603</v>
      </c>
      <c r="B137" s="3">
        <f>(283.7*(1))*(1000)</f>
        <v>283700</v>
      </c>
      <c r="C137" s="3">
        <f>(327.7*(1))*(1000)</f>
        <v>327700</v>
      </c>
      <c r="D137" s="3">
        <f>(10490*(1))*(1000)</f>
        <v>10490000</v>
      </c>
      <c r="E137" s="3">
        <f>1567.3*(1000)</f>
        <v>1567300</v>
      </c>
      <c r="F137" s="3">
        <f>388.3*(1000)</f>
        <v>388300</v>
      </c>
      <c r="G137" s="3">
        <f>5675*(1000)</f>
        <v>5675000</v>
      </c>
      <c r="H137" s="3">
        <f>1897.6*(1000)</f>
        <v>1897600</v>
      </c>
      <c r="I137" s="3">
        <f>429.1*(1000)</f>
        <v>429100</v>
      </c>
      <c r="J137" s="3">
        <f>802.5*(1000)</f>
        <v>802500</v>
      </c>
      <c r="K137" s="3">
        <f>2242.9*(1000)</f>
        <v>2242900</v>
      </c>
      <c r="L137" s="5">
        <f>0.122052*(1000000)</f>
        <v>122052</v>
      </c>
      <c r="M137" s="5">
        <f>0.327765*(1000000)</f>
        <v>327765</v>
      </c>
      <c r="N137" s="5">
        <v>203143</v>
      </c>
      <c r="O137" s="5">
        <f>0.029219*(1000000)</f>
        <v>29219</v>
      </c>
      <c r="P137" s="5">
        <f>0.047497*(1000000)</f>
        <v>47497</v>
      </c>
      <c r="Q137" s="5">
        <f>0.036361*(1000000)</f>
        <v>36361</v>
      </c>
      <c r="R137" s="5">
        <f>0.04631*(1000000)</f>
        <v>46310</v>
      </c>
      <c r="S137" s="5">
        <f>0.063542*(1000000)</f>
        <v>63542</v>
      </c>
      <c r="T137" s="8">
        <v>1197.2</v>
      </c>
      <c r="U137" s="8">
        <v>605.6</v>
      </c>
      <c r="V137" s="8">
        <v>2402</v>
      </c>
      <c r="W137" s="8">
        <v>405.1</v>
      </c>
      <c r="X137" s="8">
        <v>948.3</v>
      </c>
      <c r="Y137" s="8">
        <v>1332.9</v>
      </c>
    </row>
    <row r="138" spans="1:25" x14ac:dyDescent="0.25">
      <c r="A138" s="7">
        <v>40634</v>
      </c>
      <c r="B138" s="3">
        <f>(283.6*(1))*(1000)</f>
        <v>283600</v>
      </c>
      <c r="C138" s="3">
        <f>(328.4*(1))*(1000)</f>
        <v>328400</v>
      </c>
      <c r="D138" s="3">
        <f>(10523.1*(1))*(1000)</f>
        <v>10523100</v>
      </c>
      <c r="E138" s="3">
        <f>1573.7*(1000)</f>
        <v>1573700</v>
      </c>
      <c r="F138" s="3">
        <f>389.3*(1000)</f>
        <v>389300</v>
      </c>
      <c r="G138" s="3">
        <f>5687.2*(1000)</f>
        <v>5687200</v>
      </c>
      <c r="H138" s="3">
        <f>1899.1*(1000)</f>
        <v>1899100</v>
      </c>
      <c r="I138" s="3">
        <f>429.1*(1000)</f>
        <v>429100</v>
      </c>
      <c r="J138" s="3">
        <f>804.9*(1000)</f>
        <v>804900</v>
      </c>
      <c r="K138" s="3">
        <f>2252.8*(1000)</f>
        <v>2252800</v>
      </c>
      <c r="L138" s="5">
        <f>0.135821*(1000000)</f>
        <v>135821</v>
      </c>
      <c r="M138" s="5">
        <f>0.319477*(1000000)</f>
        <v>319477</v>
      </c>
      <c r="N138" s="5">
        <v>206282</v>
      </c>
      <c r="O138" s="5">
        <f>0.02894*(1000000)</f>
        <v>28940</v>
      </c>
      <c r="P138" s="5">
        <f>0.048715*(1000000)</f>
        <v>48715</v>
      </c>
      <c r="Q138" s="5">
        <f>0.036828*(1000000)</f>
        <v>36828</v>
      </c>
      <c r="R138" s="5">
        <f>0.047708*(1000000)</f>
        <v>47708</v>
      </c>
      <c r="S138" s="5">
        <f>0.065045*(1000000)</f>
        <v>65045.000000000007</v>
      </c>
      <c r="T138" s="8">
        <v>1201.0999999999999</v>
      </c>
      <c r="U138" s="8">
        <v>608.20000000000005</v>
      </c>
      <c r="V138" s="8">
        <v>2404.5</v>
      </c>
      <c r="W138" s="8">
        <v>405.6</v>
      </c>
      <c r="X138" s="8">
        <v>951.4</v>
      </c>
      <c r="Y138" s="8">
        <v>1339.8</v>
      </c>
    </row>
    <row r="139" spans="1:25" x14ac:dyDescent="0.25">
      <c r="A139" s="7">
        <v>40664</v>
      </c>
      <c r="B139" s="3">
        <f>(284.5*(1))*(1000)</f>
        <v>284500</v>
      </c>
      <c r="C139" s="3">
        <f>(327.8*(1))*(1000)</f>
        <v>327800</v>
      </c>
      <c r="D139" s="3">
        <f>(10537*(1))*(1000)</f>
        <v>10537000</v>
      </c>
      <c r="E139" s="3">
        <f>1574.3*(1000)</f>
        <v>1574300</v>
      </c>
      <c r="F139" s="3">
        <f>392*(1000)</f>
        <v>392000</v>
      </c>
      <c r="G139" s="3">
        <f>5689.9*(1000)</f>
        <v>5689900</v>
      </c>
      <c r="H139" s="3">
        <f>1899*(1000)</f>
        <v>1899000</v>
      </c>
      <c r="I139" s="3">
        <f>430.8*(1000)</f>
        <v>430800</v>
      </c>
      <c r="J139" s="3">
        <f>805.3*(1000)</f>
        <v>805300</v>
      </c>
      <c r="K139" s="3">
        <f>2253.7*(1000)</f>
        <v>2253700</v>
      </c>
      <c r="L139" s="5">
        <f>0.158936*(1000000)</f>
        <v>158936</v>
      </c>
      <c r="M139" s="5">
        <f>0.333833*(1000000)</f>
        <v>333833</v>
      </c>
      <c r="N139" s="5">
        <v>214004</v>
      </c>
      <c r="O139" s="5">
        <f>0.029517*(1000000)</f>
        <v>29517</v>
      </c>
      <c r="P139" s="5">
        <f>0.04837*(1000000)</f>
        <v>48370</v>
      </c>
      <c r="Q139" s="5">
        <f>0.037989*(1000000)</f>
        <v>37989</v>
      </c>
      <c r="R139" s="5">
        <f>0.048489*(1000000)</f>
        <v>48489</v>
      </c>
      <c r="S139" s="5">
        <f>0.063889*(1000000)</f>
        <v>63889</v>
      </c>
      <c r="T139" s="8">
        <v>1202</v>
      </c>
      <c r="U139" s="8">
        <v>608.5</v>
      </c>
      <c r="V139" s="8">
        <v>2412.1</v>
      </c>
      <c r="W139" s="8">
        <v>406.6</v>
      </c>
      <c r="X139" s="8">
        <v>951.4</v>
      </c>
      <c r="Y139" s="8">
        <v>1339.2</v>
      </c>
    </row>
    <row r="140" spans="1:25" x14ac:dyDescent="0.25">
      <c r="A140" s="7">
        <v>40695</v>
      </c>
      <c r="B140" s="3">
        <f>(285*(1))*(1000)</f>
        <v>285000</v>
      </c>
      <c r="C140" s="3">
        <f>(329.2*(1))*(1000)</f>
        <v>329200</v>
      </c>
      <c r="D140" s="3">
        <f>(10560.5*(1))*(1000)</f>
        <v>10560500</v>
      </c>
      <c r="E140" s="3">
        <f>1576.2*(1000)</f>
        <v>1576200</v>
      </c>
      <c r="F140" s="3">
        <f>392.7*(1000)</f>
        <v>392700</v>
      </c>
      <c r="G140" s="3">
        <f>5689.2*(1000)</f>
        <v>5689200</v>
      </c>
      <c r="H140" s="3">
        <f>1894.3*(1000)</f>
        <v>1894300</v>
      </c>
      <c r="I140" s="3">
        <f>430.1*(1000)</f>
        <v>430100</v>
      </c>
      <c r="J140" s="3">
        <f>804.7*(1000)</f>
        <v>804700</v>
      </c>
      <c r="K140" s="3">
        <f>2254.1*(1000)</f>
        <v>2254100</v>
      </c>
      <c r="L140" s="5">
        <f>0.178154*(1000000)</f>
        <v>178154</v>
      </c>
      <c r="M140" s="5">
        <f>0.35495*(1000000)</f>
        <v>354950</v>
      </c>
      <c r="N140" s="5">
        <v>217039</v>
      </c>
      <c r="O140" s="5">
        <f>0.033936*(1000000)</f>
        <v>33936</v>
      </c>
      <c r="P140" s="5">
        <f>0.049962*(1000000)</f>
        <v>49962</v>
      </c>
      <c r="Q140" s="5">
        <f>0.037372*(1000000)</f>
        <v>37372</v>
      </c>
      <c r="R140" s="5">
        <f>0.048329*(1000000)</f>
        <v>48329</v>
      </c>
      <c r="S140" s="5">
        <f>0.065676*(1000000)</f>
        <v>65676</v>
      </c>
      <c r="T140" s="8">
        <v>1204.0999999999999</v>
      </c>
      <c r="U140" s="8">
        <v>608.29999999999995</v>
      </c>
      <c r="V140" s="8">
        <v>2401</v>
      </c>
      <c r="W140" s="8">
        <v>407</v>
      </c>
      <c r="X140" s="8">
        <v>950.4</v>
      </c>
      <c r="Y140" s="8">
        <v>1331.7</v>
      </c>
    </row>
    <row r="141" spans="1:25" x14ac:dyDescent="0.25">
      <c r="A141" s="7">
        <v>40725</v>
      </c>
      <c r="B141" s="3">
        <f>(286.7*(1))*(1000)</f>
        <v>286700</v>
      </c>
      <c r="C141" s="3">
        <f>(330*(1))*(1000)</f>
        <v>330000</v>
      </c>
      <c r="D141" s="3">
        <f>(10599*(1))*(1000)</f>
        <v>10599000</v>
      </c>
      <c r="E141" s="3">
        <f>1582.5*(1000)</f>
        <v>1582500</v>
      </c>
      <c r="F141" s="3">
        <f>396.6*(1000)</f>
        <v>396600</v>
      </c>
      <c r="G141" s="3">
        <f>5685.1*(1000)</f>
        <v>5685100</v>
      </c>
      <c r="H141" s="3">
        <f>1905*(1000)</f>
        <v>1905000</v>
      </c>
      <c r="I141" s="3">
        <f>429.8*(1000)</f>
        <v>429800</v>
      </c>
      <c r="J141" s="3">
        <f>804.3*(1000)</f>
        <v>804300</v>
      </c>
      <c r="K141" s="3">
        <f>2259.1*(1000)</f>
        <v>2259100</v>
      </c>
      <c r="L141" s="5">
        <f>0.20949*(1000000)</f>
        <v>209490</v>
      </c>
      <c r="M141" s="5">
        <f>0.39575*(1000000)</f>
        <v>395750</v>
      </c>
      <c r="N141" s="5">
        <v>222720</v>
      </c>
      <c r="O141" s="5">
        <f>0.034887*(1000000)</f>
        <v>34887</v>
      </c>
      <c r="P141" s="5">
        <f>0.049988*(1000000)</f>
        <v>49988</v>
      </c>
      <c r="Q141" s="5">
        <f>0.038396*(1000000)</f>
        <v>38396</v>
      </c>
      <c r="R141" s="5">
        <f>0.050535*(1000000)</f>
        <v>50535</v>
      </c>
      <c r="S141" s="5">
        <f>0.065964*(1000000)</f>
        <v>65964</v>
      </c>
      <c r="T141" s="8">
        <v>1210.3</v>
      </c>
      <c r="U141" s="8">
        <v>611.70000000000005</v>
      </c>
      <c r="V141" s="8">
        <v>2399.3000000000002</v>
      </c>
      <c r="W141" s="8">
        <v>407.4</v>
      </c>
      <c r="X141" s="8">
        <v>952.6</v>
      </c>
      <c r="Y141" s="8">
        <v>1342</v>
      </c>
    </row>
    <row r="142" spans="1:25" x14ac:dyDescent="0.25">
      <c r="A142" s="7">
        <v>40756</v>
      </c>
      <c r="B142" s="3">
        <f>(288.4*(1))*(1000)</f>
        <v>288400</v>
      </c>
      <c r="C142" s="3">
        <f>(329.1*(1))*(1000)</f>
        <v>329100</v>
      </c>
      <c r="D142" s="3">
        <f>(10609.9*(1))*(1000)</f>
        <v>10609900</v>
      </c>
      <c r="E142" s="3">
        <f>1580.1*(1000)</f>
        <v>1580100</v>
      </c>
      <c r="F142" s="3">
        <f>398.5*(1000)</f>
        <v>398500</v>
      </c>
      <c r="G142" s="3">
        <f>5683.4*(1000)</f>
        <v>5683400</v>
      </c>
      <c r="H142" s="3">
        <f>1903.4*(1000)</f>
        <v>1903400</v>
      </c>
      <c r="I142" s="3">
        <f>431.9*(1000)</f>
        <v>431900</v>
      </c>
      <c r="J142" s="3">
        <f>803.2*(1000)</f>
        <v>803200</v>
      </c>
      <c r="K142" s="3">
        <f>2264.6*(1000)</f>
        <v>2264600</v>
      </c>
      <c r="L142" s="5">
        <f>0.241689*(1000000)</f>
        <v>241689</v>
      </c>
      <c r="M142" s="5">
        <f>0.414182*(1000000)</f>
        <v>414182</v>
      </c>
      <c r="N142" s="5">
        <v>227927</v>
      </c>
      <c r="O142" s="5">
        <f>0.038372*(1000000)</f>
        <v>38372</v>
      </c>
      <c r="P142" s="5">
        <f>0.054705*(1000000)</f>
        <v>54705</v>
      </c>
      <c r="Q142" s="5">
        <f>0.038027*(1000000)</f>
        <v>38027</v>
      </c>
      <c r="R142" s="5">
        <f>0.049146*(1000000)</f>
        <v>49146</v>
      </c>
      <c r="S142" s="5">
        <f>0.068304*(1000000)</f>
        <v>68304</v>
      </c>
      <c r="T142" s="8">
        <v>1212.7</v>
      </c>
      <c r="U142" s="8">
        <v>613.1</v>
      </c>
      <c r="V142" s="8">
        <v>2417.6</v>
      </c>
      <c r="W142" s="8">
        <v>408.2</v>
      </c>
      <c r="X142" s="8">
        <v>953.7</v>
      </c>
      <c r="Y142" s="8">
        <v>1344.2</v>
      </c>
    </row>
    <row r="143" spans="1:25" x14ac:dyDescent="0.25">
      <c r="A143" s="7">
        <v>40787</v>
      </c>
      <c r="B143" s="3">
        <f>(288.6*(1))*(1000)</f>
        <v>288600</v>
      </c>
      <c r="C143" s="3">
        <f>(330.9*(1))*(1000)</f>
        <v>330900</v>
      </c>
      <c r="D143" s="3">
        <f>(10624.5*(1))*(1000)</f>
        <v>10624500</v>
      </c>
      <c r="E143" s="3">
        <f>1588.8*(1000)</f>
        <v>1588800</v>
      </c>
      <c r="F143" s="3">
        <f>403*(1000)</f>
        <v>403000</v>
      </c>
      <c r="G143" s="3">
        <f>5693.4*(1000)</f>
        <v>5693400</v>
      </c>
      <c r="H143" s="3">
        <f>1906*(1000)</f>
        <v>1906000</v>
      </c>
      <c r="I143" s="3">
        <f>433.1*(1000)</f>
        <v>433100</v>
      </c>
      <c r="J143" s="3">
        <f>804.3*(1000)</f>
        <v>804300</v>
      </c>
      <c r="K143" s="3">
        <f>2272.7*(1000)</f>
        <v>2272700</v>
      </c>
      <c r="L143" s="5">
        <f>0.274057*(1000000)</f>
        <v>274057</v>
      </c>
      <c r="M143" s="5">
        <f>0.433053*(1000000)</f>
        <v>433053</v>
      </c>
      <c r="N143" s="5">
        <v>235905</v>
      </c>
      <c r="O143" s="5">
        <f>0.039005*(1000000)</f>
        <v>39005</v>
      </c>
      <c r="P143" s="5">
        <f>0.057978*(1000000)</f>
        <v>57978</v>
      </c>
      <c r="Q143" s="5">
        <f>0.038488*(1000000)</f>
        <v>38488</v>
      </c>
      <c r="R143" s="5">
        <f>0.050948*(1000000)</f>
        <v>50948</v>
      </c>
      <c r="S143" s="5">
        <f>0.06818*(1000000)</f>
        <v>68180</v>
      </c>
      <c r="T143" s="8">
        <v>1215.9000000000001</v>
      </c>
      <c r="U143" s="8">
        <v>613.79999999999995</v>
      </c>
      <c r="V143" s="8">
        <v>2424.1999999999998</v>
      </c>
      <c r="W143" s="8">
        <v>408.9</v>
      </c>
      <c r="X143" s="8">
        <v>955.6</v>
      </c>
      <c r="Y143" s="8">
        <v>1343.5</v>
      </c>
    </row>
    <row r="144" spans="1:25" x14ac:dyDescent="0.25">
      <c r="A144" s="7">
        <v>40817</v>
      </c>
      <c r="B144" s="3">
        <f>(288.3*(1))*(1000)</f>
        <v>288300</v>
      </c>
      <c r="C144" s="3">
        <f>(331*(1))*(1000)</f>
        <v>331000</v>
      </c>
      <c r="D144" s="3">
        <f>(10625.7*(1))*(1000)</f>
        <v>10625700</v>
      </c>
      <c r="E144" s="3">
        <f>1587*(1000)</f>
        <v>1587000</v>
      </c>
      <c r="F144" s="3">
        <f>405*(1000)</f>
        <v>405000</v>
      </c>
      <c r="G144" s="3">
        <f>5695.5*(1000)</f>
        <v>5695500</v>
      </c>
      <c r="H144" s="3">
        <f>1907.2*(1000)</f>
        <v>1907200</v>
      </c>
      <c r="I144" s="3">
        <f>433.9*(1000)</f>
        <v>433900</v>
      </c>
      <c r="J144" s="3">
        <f>801.6*(1000)</f>
        <v>801600</v>
      </c>
      <c r="K144" s="3">
        <f>2269.9*(1000)</f>
        <v>2269900</v>
      </c>
      <c r="L144" s="5">
        <f>0.29853*(1000000)</f>
        <v>298530</v>
      </c>
      <c r="M144" s="5">
        <f>0.460874*(1000000)</f>
        <v>460874</v>
      </c>
      <c r="N144" s="5">
        <v>247864</v>
      </c>
      <c r="O144" s="5">
        <f>0.039551*(1000000)</f>
        <v>39551</v>
      </c>
      <c r="P144" s="5">
        <f>0.05873*(1000000)</f>
        <v>58730</v>
      </c>
      <c r="Q144" s="5">
        <f>0.03831*(1000000)</f>
        <v>38310</v>
      </c>
      <c r="R144" s="5">
        <f>0.052141*(1000000)</f>
        <v>52141</v>
      </c>
      <c r="S144" s="5">
        <f>0.069299*(1000000)</f>
        <v>69299</v>
      </c>
      <c r="T144" s="8">
        <v>1217.7</v>
      </c>
      <c r="U144" s="8">
        <v>613.70000000000005</v>
      </c>
      <c r="V144" s="8">
        <v>2426.5</v>
      </c>
      <c r="W144" s="8">
        <v>409.7</v>
      </c>
      <c r="X144" s="8">
        <v>956.5</v>
      </c>
      <c r="Y144" s="8">
        <v>1343.7</v>
      </c>
    </row>
    <row r="145" spans="1:25" x14ac:dyDescent="0.25">
      <c r="A145" s="7">
        <v>40848</v>
      </c>
      <c r="B145" s="3">
        <f>(288.6*(1))*(1000)</f>
        <v>288600</v>
      </c>
      <c r="C145" s="3">
        <f>(331.4*(1))*(1000)</f>
        <v>331400</v>
      </c>
      <c r="D145" s="3">
        <f>(10650.7*(1))*(1000)</f>
        <v>10650700</v>
      </c>
      <c r="E145" s="3">
        <f>1589.1*(1000)</f>
        <v>1589100</v>
      </c>
      <c r="F145" s="3">
        <f>408.8*(1000)</f>
        <v>408800</v>
      </c>
      <c r="G145" s="3">
        <f>5705.6*(1000)</f>
        <v>5705600</v>
      </c>
      <c r="H145" s="3">
        <f>1908.8*(1000)</f>
        <v>1908800</v>
      </c>
      <c r="I145" s="3">
        <f>434.4*(1000)</f>
        <v>434400</v>
      </c>
      <c r="J145" s="3">
        <f>802.7*(1000)</f>
        <v>802700</v>
      </c>
      <c r="K145" s="3">
        <f>2275.2*(1000)</f>
        <v>2275200</v>
      </c>
      <c r="L145" s="5">
        <f>0.337221*(1000000)</f>
        <v>337221</v>
      </c>
      <c r="M145" s="5">
        <f>0.481176*(1000000)</f>
        <v>481176</v>
      </c>
      <c r="N145" s="5">
        <v>257485.00000000003</v>
      </c>
      <c r="O145" s="5">
        <f>0.046685*(1000000)</f>
        <v>46685</v>
      </c>
      <c r="P145" s="5">
        <f>0.062509*(1000000)</f>
        <v>62508.999999999993</v>
      </c>
      <c r="Q145" s="5">
        <f>0.03931*(1000000)</f>
        <v>39310</v>
      </c>
      <c r="R145" s="5">
        <f>0.052529*(1000000)</f>
        <v>52529</v>
      </c>
      <c r="S145" s="5">
        <f>0.076933*(1000000)</f>
        <v>76933</v>
      </c>
      <c r="T145" s="8">
        <v>1219.5</v>
      </c>
      <c r="U145" s="8">
        <v>616.70000000000005</v>
      </c>
      <c r="V145" s="8">
        <v>2431.5</v>
      </c>
      <c r="W145" s="8">
        <v>409.8</v>
      </c>
      <c r="X145" s="8">
        <v>958.2</v>
      </c>
      <c r="Y145" s="8">
        <v>1344.2</v>
      </c>
    </row>
    <row r="146" spans="1:25" x14ac:dyDescent="0.25">
      <c r="A146" s="7">
        <v>40878</v>
      </c>
      <c r="B146" s="3">
        <f>(289.9*(1))*(1000)</f>
        <v>289900</v>
      </c>
      <c r="C146" s="3">
        <f>(331.7*(1))*(1000)</f>
        <v>331700</v>
      </c>
      <c r="D146" s="3">
        <f>(10673.3*(1))*(1000)</f>
        <v>10673300</v>
      </c>
      <c r="E146" s="3">
        <f>1593.1*(1000)</f>
        <v>1593100</v>
      </c>
      <c r="F146" s="3">
        <f>412.3*(1000)</f>
        <v>412300</v>
      </c>
      <c r="G146" s="3">
        <f>5706.4*(1000)</f>
        <v>5706400</v>
      </c>
      <c r="H146" s="3">
        <f>1910.9*(1000)</f>
        <v>1910900</v>
      </c>
      <c r="I146" s="3">
        <f>435.4*(1000)</f>
        <v>435400</v>
      </c>
      <c r="J146" s="3">
        <f>802.1*(1000)</f>
        <v>802100</v>
      </c>
      <c r="K146" s="3">
        <f>2279.7*(1000)</f>
        <v>2279700</v>
      </c>
      <c r="L146" s="5">
        <f>0.362688*(1000000)</f>
        <v>362688</v>
      </c>
      <c r="M146" s="5">
        <f>0.506288*(1000000)</f>
        <v>506287.99999999994</v>
      </c>
      <c r="N146" s="5">
        <v>260153.00000000003</v>
      </c>
      <c r="O146" s="5">
        <f>0.046507*(1000000)</f>
        <v>46507</v>
      </c>
      <c r="P146" s="5">
        <f>0.064843*(1000000)</f>
        <v>64843</v>
      </c>
      <c r="Q146" s="5">
        <f>0.039461*(1000000)</f>
        <v>39461</v>
      </c>
      <c r="R146" s="5">
        <f>0.050193*(1000000)</f>
        <v>50193</v>
      </c>
      <c r="S146" s="5">
        <f>0.074779*(1000000)</f>
        <v>74779</v>
      </c>
      <c r="T146" s="8">
        <v>1224.3</v>
      </c>
      <c r="U146" s="8">
        <v>617.79999999999995</v>
      </c>
      <c r="V146" s="8">
        <v>2431.4</v>
      </c>
      <c r="W146" s="8">
        <v>410.7</v>
      </c>
      <c r="X146" s="8">
        <v>959.5</v>
      </c>
      <c r="Y146" s="8">
        <v>1341.4</v>
      </c>
    </row>
    <row r="147" spans="1:25" x14ac:dyDescent="0.25">
      <c r="A147" s="7">
        <v>40909</v>
      </c>
      <c r="B147" s="3">
        <f>(289.5*(1))*(1000)</f>
        <v>289500</v>
      </c>
      <c r="C147" s="3">
        <f>(333.6*(1))*(1000)</f>
        <v>333600</v>
      </c>
      <c r="D147" s="3">
        <f>(10716*(1))*(1000)</f>
        <v>10716000</v>
      </c>
      <c r="E147" s="3">
        <f>1596.9*(1000)</f>
        <v>1596900</v>
      </c>
      <c r="F147" s="3">
        <f>416.7*(1000)</f>
        <v>416700</v>
      </c>
      <c r="G147" s="3">
        <f>5711.2*(1000)</f>
        <v>5711200</v>
      </c>
      <c r="H147" s="3">
        <f>1914.8*(1000)</f>
        <v>1914800</v>
      </c>
      <c r="I147" s="3">
        <f>436.4*(1000)</f>
        <v>436400</v>
      </c>
      <c r="J147" s="3">
        <f>802.1*(1000)</f>
        <v>802100</v>
      </c>
      <c r="K147" s="3">
        <f>2286.7*(1000)</f>
        <v>2286700</v>
      </c>
      <c r="L147" s="5">
        <f>0.38921*(1000000)</f>
        <v>389210</v>
      </c>
      <c r="M147" s="5">
        <f>0.51798*(1000000)</f>
        <v>517980</v>
      </c>
      <c r="N147" s="5">
        <v>265986</v>
      </c>
      <c r="O147" s="5">
        <f>0.049488*(1000000)</f>
        <v>49488</v>
      </c>
      <c r="P147" s="5">
        <f>0.065375*(1000000)</f>
        <v>65375</v>
      </c>
      <c r="Q147" s="5">
        <f>0.040267*(1000000)</f>
        <v>40267</v>
      </c>
      <c r="R147" s="5">
        <f>0.051954*(1000000)</f>
        <v>51954</v>
      </c>
      <c r="S147" s="5">
        <f>0.075713*(1000000)</f>
        <v>75713</v>
      </c>
      <c r="T147" s="8">
        <v>1228.7</v>
      </c>
      <c r="U147" s="8">
        <v>617.1</v>
      </c>
      <c r="V147" s="8">
        <v>2443</v>
      </c>
      <c r="W147" s="8">
        <v>411.6</v>
      </c>
      <c r="X147" s="8">
        <v>963.5</v>
      </c>
      <c r="Y147" s="8">
        <v>1354.2</v>
      </c>
    </row>
    <row r="148" spans="1:25" x14ac:dyDescent="0.25">
      <c r="A148" s="7">
        <v>40940</v>
      </c>
      <c r="B148" s="3">
        <f>(290.1*(1))*(1000)</f>
        <v>290100</v>
      </c>
      <c r="C148" s="3">
        <f>(333.7*(1))*(1000)</f>
        <v>333700</v>
      </c>
      <c r="D148" s="3">
        <f>(10738.6*(1))*(1000)</f>
        <v>10738600</v>
      </c>
      <c r="E148" s="3">
        <f>1601.9*(1000)</f>
        <v>1601900</v>
      </c>
      <c r="F148" s="3">
        <f>419.6*(1000)</f>
        <v>419600</v>
      </c>
      <c r="G148" s="3">
        <f>5726.2*(1000)</f>
        <v>5726200</v>
      </c>
      <c r="H148" s="3">
        <f>1917.4*(1000)</f>
        <v>1917400</v>
      </c>
      <c r="I148" s="3">
        <f>436.7*(1000)</f>
        <v>436700</v>
      </c>
      <c r="J148" s="3">
        <f>804.2*(1000)</f>
        <v>804200</v>
      </c>
      <c r="K148" s="3">
        <f>2288.4*(1000)</f>
        <v>2288400</v>
      </c>
      <c r="L148" s="5">
        <f>0.415176*(1000000)</f>
        <v>415176</v>
      </c>
      <c r="M148" s="5">
        <f>0.532424*(1000000)</f>
        <v>532424</v>
      </c>
      <c r="N148" s="5">
        <v>275062</v>
      </c>
      <c r="O148" s="5">
        <f>0.052884*(1000000)</f>
        <v>52884</v>
      </c>
      <c r="P148" s="5">
        <f>0.066246*(1000000)</f>
        <v>66246</v>
      </c>
      <c r="Q148" s="5">
        <f>0.041505*(1000000)</f>
        <v>41505</v>
      </c>
      <c r="R148" s="5">
        <f>0.054069*(1000000)</f>
        <v>54069</v>
      </c>
      <c r="S148" s="5">
        <f>0.078279*(1000000)</f>
        <v>78279</v>
      </c>
      <c r="T148" s="8">
        <v>1231.5</v>
      </c>
      <c r="U148" s="8">
        <v>618</v>
      </c>
      <c r="V148" s="8">
        <v>2444.3000000000002</v>
      </c>
      <c r="W148" s="8">
        <v>411.6</v>
      </c>
      <c r="X148" s="8">
        <v>963.1</v>
      </c>
      <c r="Y148" s="8">
        <v>1354.7</v>
      </c>
    </row>
    <row r="149" spans="1:25" x14ac:dyDescent="0.25">
      <c r="A149" s="7">
        <v>40969</v>
      </c>
      <c r="B149" s="3">
        <f>(289.8*(1))*(1000)</f>
        <v>289800</v>
      </c>
      <c r="C149" s="3">
        <f>(334.2*(1))*(1000)</f>
        <v>334200</v>
      </c>
      <c r="D149" s="3">
        <f>(10773.5*(1))*(1000)</f>
        <v>10773500</v>
      </c>
      <c r="E149" s="3">
        <f>1605.3*(1000)</f>
        <v>1605300</v>
      </c>
      <c r="F149" s="3">
        <f>422.2*(1000)</f>
        <v>422200</v>
      </c>
      <c r="G149" s="3">
        <f>5743.9*(1000)</f>
        <v>5743900</v>
      </c>
      <c r="H149" s="3">
        <f>1919.2*(1000)</f>
        <v>1919200</v>
      </c>
      <c r="I149" s="3">
        <f>437.2*(1000)</f>
        <v>437200</v>
      </c>
      <c r="J149" s="3">
        <f>806*(1000)</f>
        <v>806000</v>
      </c>
      <c r="K149" s="3">
        <f>2295.8*(1000)</f>
        <v>2295800</v>
      </c>
      <c r="L149" s="5">
        <f>0.442482*(1000000)</f>
        <v>442482</v>
      </c>
      <c r="M149" s="5">
        <f>0.552737*(1000000)</f>
        <v>552737</v>
      </c>
      <c r="N149" s="5">
        <v>280593</v>
      </c>
      <c r="O149" s="5">
        <f>0.056865*(1000000)</f>
        <v>56865</v>
      </c>
      <c r="P149" s="5">
        <f>0.069039*(1000000)</f>
        <v>69039</v>
      </c>
      <c r="Q149" s="5">
        <f>0.041552*(1000000)</f>
        <v>41552</v>
      </c>
      <c r="R149" s="5">
        <f>0.054508*(1000000)</f>
        <v>54508</v>
      </c>
      <c r="S149" s="5">
        <f>0.080902*(1000000)</f>
        <v>80902</v>
      </c>
      <c r="T149" s="8">
        <v>1236</v>
      </c>
      <c r="U149" s="8">
        <v>618.70000000000005</v>
      </c>
      <c r="V149" s="8">
        <v>2452.3000000000002</v>
      </c>
      <c r="W149" s="8">
        <v>413.2</v>
      </c>
      <c r="X149" s="8">
        <v>967.2</v>
      </c>
      <c r="Y149" s="8">
        <v>1358.4</v>
      </c>
    </row>
    <row r="150" spans="1:25" x14ac:dyDescent="0.25">
      <c r="A150" s="7">
        <v>41000</v>
      </c>
      <c r="B150" s="3">
        <f>(290.7*(1))*(1000)</f>
        <v>290700</v>
      </c>
      <c r="C150" s="3">
        <f>(334.7*(1))*(1000)</f>
        <v>334700</v>
      </c>
      <c r="D150" s="3">
        <f>(10807.2*(1))*(1000)</f>
        <v>10807200</v>
      </c>
      <c r="E150" s="3">
        <f>1610.5*(1000)</f>
        <v>1610500</v>
      </c>
      <c r="F150" s="3">
        <f>425.9*(1000)</f>
        <v>425900</v>
      </c>
      <c r="G150" s="3">
        <f>5731.7*(1000)</f>
        <v>5731700</v>
      </c>
      <c r="H150" s="3">
        <f>1929.4*(1000)</f>
        <v>1929400</v>
      </c>
      <c r="I150" s="3">
        <f>439.4*(1000)</f>
        <v>439400</v>
      </c>
      <c r="J150" s="3">
        <f>804.2*(1000)</f>
        <v>804200</v>
      </c>
      <c r="K150" s="3">
        <f>2301.1*(1000)</f>
        <v>2301100</v>
      </c>
      <c r="L150" s="5">
        <f>0.489103*(1000000)</f>
        <v>489103</v>
      </c>
      <c r="M150" s="5">
        <f>0.586953*(1000000)</f>
        <v>586953</v>
      </c>
      <c r="N150" s="5">
        <v>290741</v>
      </c>
      <c r="O150" s="5">
        <f>0.06299*(1000000)</f>
        <v>62990.000000000007</v>
      </c>
      <c r="P150" s="5">
        <f>0.068491*(1000000)</f>
        <v>68491</v>
      </c>
      <c r="Q150" s="5">
        <f>0.043729*(1000000)</f>
        <v>43729</v>
      </c>
      <c r="R150" s="5">
        <f>0.053842*(1000000)</f>
        <v>53842</v>
      </c>
      <c r="S150" s="5">
        <f>0.077485*(1000000)</f>
        <v>77485</v>
      </c>
      <c r="T150" s="8">
        <v>1244.5</v>
      </c>
      <c r="U150" s="8">
        <v>618.1</v>
      </c>
      <c r="V150" s="8">
        <v>2454.1</v>
      </c>
      <c r="W150" s="8">
        <v>415.3</v>
      </c>
      <c r="X150" s="8">
        <v>967.9</v>
      </c>
      <c r="Y150" s="8">
        <v>1353.6</v>
      </c>
    </row>
    <row r="151" spans="1:25" x14ac:dyDescent="0.25">
      <c r="A151" s="7">
        <v>41030</v>
      </c>
      <c r="B151" s="3">
        <f>(289.4*(1))*(1000)</f>
        <v>289400</v>
      </c>
      <c r="C151" s="3">
        <f>(335.5*(1))*(1000)</f>
        <v>335500</v>
      </c>
      <c r="D151" s="3">
        <f>(10832*(1))*(1000)</f>
        <v>10832000</v>
      </c>
      <c r="E151" s="3">
        <f>1612.6*(1000)</f>
        <v>1612600</v>
      </c>
      <c r="F151" s="3">
        <f>428*(1000)</f>
        <v>428000</v>
      </c>
      <c r="G151" s="3">
        <f>5734*(1000)</f>
        <v>5734000</v>
      </c>
      <c r="H151" s="3">
        <f>1930.6*(1000)</f>
        <v>1930600</v>
      </c>
      <c r="I151" s="3">
        <f>440.4*(1000)</f>
        <v>440400</v>
      </c>
      <c r="J151" s="3">
        <f>804.5*(1000)</f>
        <v>804500</v>
      </c>
      <c r="K151" s="3">
        <f>2304.1*(1000)</f>
        <v>2304100</v>
      </c>
      <c r="L151" s="5">
        <f>0.520974*(1000000)</f>
        <v>520974.00000000006</v>
      </c>
      <c r="M151" s="5">
        <f>0.617153*(1000000)</f>
        <v>617153</v>
      </c>
      <c r="N151" s="5">
        <v>292945</v>
      </c>
      <c r="O151" s="5">
        <f>0.065339*(1000000)</f>
        <v>65338.999999999993</v>
      </c>
      <c r="P151" s="5">
        <f>0.072222*(1000000)</f>
        <v>72222</v>
      </c>
      <c r="Q151" s="5">
        <f>0.043466*(1000000)</f>
        <v>43466</v>
      </c>
      <c r="R151" s="5">
        <f>0.053588*(1000000)</f>
        <v>53588</v>
      </c>
      <c r="S151" s="5">
        <f>0.08887*(1000000)</f>
        <v>88870</v>
      </c>
      <c r="T151" s="8">
        <v>1249.8</v>
      </c>
      <c r="U151" s="8">
        <v>620.1</v>
      </c>
      <c r="V151" s="8">
        <v>2449.1999999999998</v>
      </c>
      <c r="W151" s="8">
        <v>414.2</v>
      </c>
      <c r="X151" s="8">
        <v>968</v>
      </c>
      <c r="Y151" s="8">
        <v>1355.6</v>
      </c>
    </row>
    <row r="152" spans="1:25" x14ac:dyDescent="0.25">
      <c r="A152" s="7">
        <v>41061</v>
      </c>
      <c r="B152" s="3">
        <f>(288.5*(1))*(1000)</f>
        <v>288500</v>
      </c>
      <c r="C152" s="3">
        <f>(334.7*(1))*(1000)</f>
        <v>334700</v>
      </c>
      <c r="D152" s="3">
        <f>(10861.5*(1))*(1000)</f>
        <v>10861500</v>
      </c>
      <c r="E152" s="3">
        <f>1615.4*(1000)</f>
        <v>1615400</v>
      </c>
      <c r="F152" s="3">
        <f>430.5*(1000)</f>
        <v>430500</v>
      </c>
      <c r="G152" s="3">
        <f>5717.9*(1000)</f>
        <v>5717900</v>
      </c>
      <c r="H152" s="3">
        <f>1928.1*(1000)</f>
        <v>1928100</v>
      </c>
      <c r="I152" s="3">
        <f>439.9*(1000)</f>
        <v>439900</v>
      </c>
      <c r="J152" s="3">
        <f>805.2*(1000)</f>
        <v>805200</v>
      </c>
      <c r="K152" s="3">
        <f>2309.9*(1000)</f>
        <v>2309900</v>
      </c>
      <c r="L152" s="5">
        <f>0.54585*(1000000)</f>
        <v>545850</v>
      </c>
      <c r="M152" s="5">
        <f>0.63772*(1000000)</f>
        <v>637720</v>
      </c>
      <c r="N152" s="5">
        <v>296698</v>
      </c>
      <c r="O152" s="5">
        <f>0.066232*(1000000)</f>
        <v>66232</v>
      </c>
      <c r="P152" s="5">
        <f>0.075478*(1000000)</f>
        <v>75478</v>
      </c>
      <c r="Q152" s="5">
        <f>0.043308*(1000000)</f>
        <v>43308</v>
      </c>
      <c r="R152" s="5">
        <f>0.0534*(1000000)</f>
        <v>53400</v>
      </c>
      <c r="S152" s="5">
        <f>0.082477*(1000000)</f>
        <v>82477</v>
      </c>
      <c r="T152" s="8">
        <v>1251.5999999999999</v>
      </c>
      <c r="U152" s="8">
        <v>620.6</v>
      </c>
      <c r="V152" s="8">
        <v>2462.6999999999998</v>
      </c>
      <c r="W152" s="8">
        <v>414.3</v>
      </c>
      <c r="X152" s="8">
        <v>967.7</v>
      </c>
      <c r="Y152" s="8">
        <v>1356.6</v>
      </c>
    </row>
    <row r="153" spans="1:25" x14ac:dyDescent="0.25">
      <c r="A153" s="7">
        <v>41091</v>
      </c>
      <c r="B153" s="3">
        <f>(288.7*(1))*(1000)</f>
        <v>288700</v>
      </c>
      <c r="C153" s="3">
        <f>(334*(1))*(1000)</f>
        <v>334000</v>
      </c>
      <c r="D153" s="3">
        <f>(10883.4*(1))*(1000)</f>
        <v>10883400</v>
      </c>
      <c r="E153" s="3">
        <f>1613.6*(1000)</f>
        <v>1613600</v>
      </c>
      <c r="F153" s="3">
        <f>433.2*(1000)</f>
        <v>433200</v>
      </c>
      <c r="G153" s="3">
        <f>5718.8*(1000)</f>
        <v>5718800</v>
      </c>
      <c r="H153" s="3">
        <f>1924.2*(1000)</f>
        <v>1924200</v>
      </c>
      <c r="I153" s="3">
        <f>440.7*(1000)</f>
        <v>440700</v>
      </c>
      <c r="J153" s="3">
        <f>802.9*(1000)</f>
        <v>802900</v>
      </c>
      <c r="K153" s="3">
        <f>2314.9*(1000)</f>
        <v>2314900</v>
      </c>
      <c r="L153" s="5">
        <f>0.582584*(1000000)</f>
        <v>582584</v>
      </c>
      <c r="M153" s="5">
        <f>0.655764*(1000000)</f>
        <v>655764</v>
      </c>
      <c r="N153" s="5">
        <v>304946</v>
      </c>
      <c r="O153" s="5">
        <f>0.072931*(1000000)</f>
        <v>72931</v>
      </c>
      <c r="P153" s="5">
        <f>0.079743*(1000000)</f>
        <v>79743</v>
      </c>
      <c r="Q153" s="5">
        <f>0.045524*(1000000)</f>
        <v>45524</v>
      </c>
      <c r="R153" s="5">
        <f>0.054836*(1000000)</f>
        <v>54836</v>
      </c>
      <c r="S153" s="5">
        <f>0.08146*(1000000)</f>
        <v>81460</v>
      </c>
      <c r="T153" s="8">
        <v>1250.2</v>
      </c>
      <c r="U153" s="8">
        <v>621.70000000000005</v>
      </c>
      <c r="V153" s="8">
        <v>2452.9</v>
      </c>
      <c r="W153" s="8">
        <v>414</v>
      </c>
      <c r="X153" s="8">
        <v>968.9</v>
      </c>
      <c r="Y153" s="8">
        <v>1354.6</v>
      </c>
    </row>
    <row r="154" spans="1:25" x14ac:dyDescent="0.25">
      <c r="A154" s="7">
        <v>41122</v>
      </c>
      <c r="B154" s="3">
        <f>(288.9*(1))*(1000)</f>
        <v>288900</v>
      </c>
      <c r="C154" s="3">
        <f>(333.7*(1))*(1000)</f>
        <v>333700</v>
      </c>
      <c r="D154" s="3">
        <f>(10918.2*(1))*(1000)</f>
        <v>10918200</v>
      </c>
      <c r="E154" s="3">
        <f>1615.4*(1000)</f>
        <v>1615400</v>
      </c>
      <c r="F154" s="3">
        <f>433.9*(1000)</f>
        <v>433900</v>
      </c>
      <c r="G154" s="3">
        <f>5720.6*(1000)</f>
        <v>5720600</v>
      </c>
      <c r="H154" s="3">
        <f>1923.1*(1000)</f>
        <v>1923100</v>
      </c>
      <c r="I154" s="3">
        <f>441.3*(1000)</f>
        <v>441300</v>
      </c>
      <c r="J154" s="3">
        <f>803.8*(1000)</f>
        <v>803800</v>
      </c>
      <c r="K154" s="3">
        <f>2316.7*(1000)</f>
        <v>2316700</v>
      </c>
      <c r="L154" s="5">
        <f>0.624158*(1000000)</f>
        <v>624158</v>
      </c>
      <c r="M154" s="5">
        <f>0.683057*(1000000)</f>
        <v>683057</v>
      </c>
      <c r="N154" s="5">
        <v>310242</v>
      </c>
      <c r="O154" s="5">
        <f>0.076278*(1000000)</f>
        <v>76278</v>
      </c>
      <c r="P154" s="5">
        <f>0.08193*(1000000)</f>
        <v>81930</v>
      </c>
      <c r="Q154" s="5">
        <f>0.045771*(1000000)</f>
        <v>45771</v>
      </c>
      <c r="R154" s="5">
        <f>0.05586*(1000000)</f>
        <v>55860</v>
      </c>
      <c r="S154" s="5">
        <f>0.073702*(1000000)</f>
        <v>73702</v>
      </c>
      <c r="T154" s="8">
        <v>1253</v>
      </c>
      <c r="U154" s="8">
        <v>622.5</v>
      </c>
      <c r="V154" s="8">
        <v>2467.6</v>
      </c>
      <c r="W154" s="8">
        <v>413.9</v>
      </c>
      <c r="X154" s="8">
        <v>968.7</v>
      </c>
      <c r="Y154" s="8">
        <v>1359.6</v>
      </c>
    </row>
    <row r="155" spans="1:25" x14ac:dyDescent="0.25">
      <c r="A155" s="7">
        <v>41153</v>
      </c>
      <c r="B155" s="3">
        <f>(288.2*(1))*(1000)</f>
        <v>288200</v>
      </c>
      <c r="C155" s="3">
        <f>(334.6*(1))*(1000)</f>
        <v>334600</v>
      </c>
      <c r="D155" s="3">
        <f>(10947.2*(1))*(1000)</f>
        <v>10947200</v>
      </c>
      <c r="E155" s="3">
        <f>1616.8*(1000)</f>
        <v>1616800</v>
      </c>
      <c r="F155" s="3">
        <f>433.8*(1000)</f>
        <v>433800</v>
      </c>
      <c r="G155" s="3">
        <f>5729.6*(1000)</f>
        <v>5729600</v>
      </c>
      <c r="H155" s="3">
        <f>1923.7*(1000)</f>
        <v>1923700</v>
      </c>
      <c r="I155" s="3">
        <f>442.3*(1000)</f>
        <v>442300</v>
      </c>
      <c r="J155" s="3">
        <f>805.8*(1000)</f>
        <v>805800</v>
      </c>
      <c r="K155" s="3">
        <f>2323.3*(1000)</f>
        <v>2323300</v>
      </c>
      <c r="L155" s="5">
        <f>0.6319*(1000000)</f>
        <v>631900</v>
      </c>
      <c r="M155" s="5">
        <f>0.708874*(1000000)</f>
        <v>708874</v>
      </c>
      <c r="N155" s="5">
        <v>319697</v>
      </c>
      <c r="O155" s="5">
        <f>0.080117*(1000000)</f>
        <v>80117</v>
      </c>
      <c r="P155" s="5">
        <f>0.08585*(1000000)</f>
        <v>85850</v>
      </c>
      <c r="Q155" s="5">
        <f>0.047263*(1000000)</f>
        <v>47263</v>
      </c>
      <c r="R155" s="5">
        <f>0.057726*(1000000)</f>
        <v>57726</v>
      </c>
      <c r="S155" s="5">
        <f>0.080673*(1000000)</f>
        <v>80673</v>
      </c>
      <c r="T155" s="8">
        <v>1257.0999999999999</v>
      </c>
      <c r="U155" s="8">
        <v>624.5</v>
      </c>
      <c r="V155" s="8">
        <v>2474.1999999999998</v>
      </c>
      <c r="W155" s="8">
        <v>414.7</v>
      </c>
      <c r="X155" s="8">
        <v>970.6</v>
      </c>
      <c r="Y155" s="8">
        <v>1356.9</v>
      </c>
    </row>
    <row r="156" spans="1:25" x14ac:dyDescent="0.25">
      <c r="A156" s="7">
        <v>41183</v>
      </c>
      <c r="B156" s="3">
        <f>(288.9*(1))*(1000)</f>
        <v>288900</v>
      </c>
      <c r="C156" s="3">
        <f>(338.6*(1))*(1000)</f>
        <v>338600</v>
      </c>
      <c r="D156" s="3">
        <f>(10974.4*(1))*(1000)</f>
        <v>10974400</v>
      </c>
      <c r="E156" s="3">
        <f>1623.7*(1000)</f>
        <v>1623700</v>
      </c>
      <c r="F156" s="3">
        <f>434.7*(1000)</f>
        <v>434700</v>
      </c>
      <c r="G156" s="3">
        <f>5728.3*(1000)</f>
        <v>5728300</v>
      </c>
      <c r="H156" s="3">
        <f>1927.5*(1000)</f>
        <v>1927500</v>
      </c>
      <c r="I156" s="3">
        <f>443.2*(1000)</f>
        <v>443200</v>
      </c>
      <c r="J156" s="3">
        <f>814.4*(1000)</f>
        <v>814400</v>
      </c>
      <c r="K156" s="3">
        <f>2333.7*(1000)</f>
        <v>2333700</v>
      </c>
      <c r="L156" s="5">
        <f>0.674552*(1000000)</f>
        <v>674552</v>
      </c>
      <c r="M156" s="5">
        <f>0.734925*(1000000)</f>
        <v>734925</v>
      </c>
      <c r="N156" s="5">
        <v>331706</v>
      </c>
      <c r="O156" s="5">
        <f>0.083275*(1000000)</f>
        <v>83275</v>
      </c>
      <c r="P156" s="5">
        <f>0.086846*(1000000)</f>
        <v>86846</v>
      </c>
      <c r="Q156" s="5">
        <f>0.050228*(1000000)</f>
        <v>50228</v>
      </c>
      <c r="R156" s="5">
        <f>0.058312*(1000000)</f>
        <v>58312</v>
      </c>
      <c r="S156" s="5">
        <f>0.082278*(1000000)</f>
        <v>82278</v>
      </c>
      <c r="T156" s="8">
        <v>1263.0999999999999</v>
      </c>
      <c r="U156" s="8">
        <v>627.5</v>
      </c>
      <c r="V156" s="8">
        <v>2480.4</v>
      </c>
      <c r="W156" s="8">
        <v>414.9</v>
      </c>
      <c r="X156" s="8">
        <v>971.7</v>
      </c>
      <c r="Y156" s="8">
        <v>1360.7</v>
      </c>
    </row>
    <row r="157" spans="1:25" x14ac:dyDescent="0.25">
      <c r="A157" s="7">
        <v>41214</v>
      </c>
      <c r="B157" s="3">
        <f>(289.2*(1))*(1000)</f>
        <v>289200</v>
      </c>
      <c r="C157" s="3">
        <f>(335.4*(1))*(1000)</f>
        <v>335400</v>
      </c>
      <c r="D157" s="3">
        <f>(11010.3*(1))*(1000)</f>
        <v>11010300</v>
      </c>
      <c r="E157" s="3">
        <f>1626.6*(1000)</f>
        <v>1626600</v>
      </c>
      <c r="F157" s="3">
        <f>434.7*(1000)</f>
        <v>434700</v>
      </c>
      <c r="G157" s="3">
        <f>5731.6*(1000)</f>
        <v>5731600</v>
      </c>
      <c r="H157" s="3">
        <f>1933.8*(1000)</f>
        <v>1933800</v>
      </c>
      <c r="I157" s="3">
        <f>444*(1000)</f>
        <v>444000</v>
      </c>
      <c r="J157" s="3">
        <f>814.5*(1000)</f>
        <v>814500</v>
      </c>
      <c r="K157" s="3">
        <f>2337.3*(1000)</f>
        <v>2337300</v>
      </c>
      <c r="L157" s="5">
        <f>0.705232*(1000000)</f>
        <v>705232</v>
      </c>
      <c r="M157" s="5">
        <f>0.721933*(1000000)</f>
        <v>721933</v>
      </c>
      <c r="N157" s="5">
        <v>333701</v>
      </c>
      <c r="O157" s="5">
        <f>0.088336*(1000000)</f>
        <v>88336</v>
      </c>
      <c r="P157" s="5">
        <f>0.094458*(1000000)</f>
        <v>94458</v>
      </c>
      <c r="Q157" s="5">
        <f>0.05107*(1000000)</f>
        <v>51070</v>
      </c>
      <c r="R157" s="5">
        <f>0.055322*(1000000)</f>
        <v>55322</v>
      </c>
      <c r="S157" s="5">
        <f>0.103786*(1000000)</f>
        <v>103786</v>
      </c>
      <c r="T157" s="8">
        <v>1266.5999999999999</v>
      </c>
      <c r="U157" s="8">
        <v>628.5</v>
      </c>
      <c r="V157" s="8">
        <v>2487.1999999999998</v>
      </c>
      <c r="W157" s="8">
        <v>415.6</v>
      </c>
      <c r="X157" s="8">
        <v>973</v>
      </c>
      <c r="Y157" s="8">
        <v>1362.7</v>
      </c>
    </row>
    <row r="158" spans="1:25" x14ac:dyDescent="0.25">
      <c r="A158" s="7">
        <v>41244</v>
      </c>
      <c r="B158" s="3">
        <f>(289.7*(1))*(1000)</f>
        <v>289700</v>
      </c>
      <c r="C158" s="3">
        <f>(335.5*(1))*(1000)</f>
        <v>335500</v>
      </c>
      <c r="D158" s="3">
        <f>(11026.6*(1))*(1000)</f>
        <v>11026600</v>
      </c>
      <c r="E158" s="3">
        <f>1630*(1000)</f>
        <v>1630000</v>
      </c>
      <c r="F158" s="3">
        <f>435.5*(1000)</f>
        <v>435500</v>
      </c>
      <c r="G158" s="3">
        <f>5728.7*(1000)</f>
        <v>5728700</v>
      </c>
      <c r="H158" s="3">
        <f>1934.8*(1000)</f>
        <v>1934800</v>
      </c>
      <c r="I158" s="3">
        <f>445*(1000)</f>
        <v>445000</v>
      </c>
      <c r="J158" s="3">
        <f>812.7*(1000)</f>
        <v>812700</v>
      </c>
      <c r="K158" s="3">
        <f>2341.9*(1000)</f>
        <v>2341900</v>
      </c>
      <c r="L158" s="5">
        <f>0.739082*(1000000)</f>
        <v>739082</v>
      </c>
      <c r="M158" s="5">
        <f>0.753532*(1000000)</f>
        <v>753532</v>
      </c>
      <c r="N158" s="5">
        <v>338393</v>
      </c>
      <c r="O158" s="5">
        <f>0.090575*(1000000)</f>
        <v>90575</v>
      </c>
      <c r="P158" s="5">
        <f>0.090984*(1000000)</f>
        <v>90984</v>
      </c>
      <c r="Q158" s="5">
        <f>0.052284*(1000000)</f>
        <v>52284</v>
      </c>
      <c r="R158" s="5">
        <f>0.05646*(1000000)</f>
        <v>56460</v>
      </c>
      <c r="S158" s="5">
        <f>0.104524*(1000000)</f>
        <v>104524</v>
      </c>
      <c r="T158" s="8">
        <v>1268.3</v>
      </c>
      <c r="U158" s="8">
        <v>629.70000000000005</v>
      </c>
      <c r="V158" s="8">
        <v>2491</v>
      </c>
      <c r="W158" s="8">
        <v>416.3</v>
      </c>
      <c r="X158" s="8">
        <v>975.7</v>
      </c>
      <c r="Y158" s="8">
        <v>1362.9</v>
      </c>
    </row>
    <row r="159" spans="1:25" x14ac:dyDescent="0.25">
      <c r="A159" s="7">
        <v>41275</v>
      </c>
      <c r="B159" s="3">
        <f>(290.1*(1))*(1000)</f>
        <v>290100</v>
      </c>
      <c r="C159" s="3">
        <f>(335.8*(1))*(1000)</f>
        <v>335800</v>
      </c>
      <c r="D159" s="3">
        <f>(11036.9*(1))*(1000)</f>
        <v>11036900</v>
      </c>
      <c r="E159" s="3">
        <f>1623.3*(1000)</f>
        <v>1623300</v>
      </c>
      <c r="F159" s="3">
        <f>436.9*(1000)</f>
        <v>436900</v>
      </c>
      <c r="G159" s="3">
        <f>5730.2*(1000)</f>
        <v>5730200</v>
      </c>
      <c r="H159" s="3">
        <f>1938.2*(1000)</f>
        <v>1938200</v>
      </c>
      <c r="I159" s="3">
        <f>445.5*(1000)</f>
        <v>445500</v>
      </c>
      <c r="J159" s="3">
        <f>813.6*(1000)</f>
        <v>813600</v>
      </c>
      <c r="K159" s="3">
        <f>2349*(1000)</f>
        <v>2349000</v>
      </c>
      <c r="L159" s="5">
        <f>0.776715*(1000000)</f>
        <v>776715</v>
      </c>
      <c r="M159" s="5">
        <f>0.724385*(1000000)</f>
        <v>724385</v>
      </c>
      <c r="N159" s="5">
        <v>339377</v>
      </c>
      <c r="O159" s="5">
        <f>0.090708*(1000000)</f>
        <v>90708</v>
      </c>
      <c r="P159" s="5">
        <f>0.090846*(1000000)</f>
        <v>90846</v>
      </c>
      <c r="Q159" s="5">
        <f>0.053524*(1000000)</f>
        <v>53524</v>
      </c>
      <c r="R159" s="5">
        <f>0.056384*(1000000)</f>
        <v>56384</v>
      </c>
      <c r="S159" s="5">
        <f>0.106464*(1000000)</f>
        <v>106464</v>
      </c>
      <c r="T159" s="8">
        <v>1274.8</v>
      </c>
      <c r="U159" s="8">
        <v>633.20000000000005</v>
      </c>
      <c r="V159" s="8">
        <v>2495.1</v>
      </c>
      <c r="W159" s="8">
        <v>416.3</v>
      </c>
      <c r="X159" s="8">
        <v>974.7</v>
      </c>
      <c r="Y159" s="8">
        <v>1364.1</v>
      </c>
    </row>
    <row r="160" spans="1:25" x14ac:dyDescent="0.25">
      <c r="A160" s="7">
        <v>41306</v>
      </c>
      <c r="B160" s="3">
        <f>(289.8*(1))*(1000)</f>
        <v>289800</v>
      </c>
      <c r="C160" s="3">
        <f>(336.2*(1))*(1000)</f>
        <v>336200</v>
      </c>
      <c r="D160" s="3">
        <f>(11091.8*(1))*(1000)</f>
        <v>11091800</v>
      </c>
      <c r="E160" s="3">
        <f>1626.6*(1000)</f>
        <v>1626600</v>
      </c>
      <c r="F160" s="3">
        <f>439.4*(1000)</f>
        <v>439400</v>
      </c>
      <c r="G160" s="3">
        <f>5741.4*(1000)</f>
        <v>5741400</v>
      </c>
      <c r="H160" s="3">
        <f>1945.1*(1000)</f>
        <v>1945100</v>
      </c>
      <c r="I160" s="3">
        <f>448.5*(1000)</f>
        <v>448500</v>
      </c>
      <c r="J160" s="3">
        <f>814.1*(1000)</f>
        <v>814100</v>
      </c>
      <c r="K160" s="3">
        <f>2357*(1000)</f>
        <v>2357000</v>
      </c>
      <c r="L160" s="5">
        <f>0.825139*(1000000)</f>
        <v>825139</v>
      </c>
      <c r="M160" s="5">
        <f>0.769886*(1000000)</f>
        <v>769886</v>
      </c>
      <c r="N160" s="5">
        <v>343954</v>
      </c>
      <c r="O160" s="5">
        <f>0.093255*(1000000)</f>
        <v>93255</v>
      </c>
      <c r="P160" s="5">
        <f>0.096821*(1000000)</f>
        <v>96821</v>
      </c>
      <c r="Q160" s="5">
        <f>0.053206*(1000000)</f>
        <v>53206</v>
      </c>
      <c r="R160" s="5">
        <f>0.05775*(1000000)</f>
        <v>57750</v>
      </c>
      <c r="S160" s="5">
        <f>0.108551*(1000000)</f>
        <v>108551</v>
      </c>
      <c r="T160" s="8">
        <v>1278.4000000000001</v>
      </c>
      <c r="U160" s="8">
        <v>635.20000000000005</v>
      </c>
      <c r="V160" s="8">
        <v>2500.1</v>
      </c>
      <c r="W160" s="8">
        <v>417</v>
      </c>
      <c r="X160" s="8">
        <v>975.4</v>
      </c>
      <c r="Y160" s="8">
        <v>1368</v>
      </c>
    </row>
    <row r="161" spans="1:58" x14ac:dyDescent="0.25">
      <c r="A161" s="7">
        <v>41334</v>
      </c>
      <c r="B161" s="3">
        <f>(289.9*(1))*(1000)</f>
        <v>289900</v>
      </c>
      <c r="C161" s="3">
        <f>(336.2*(1))*(1000)</f>
        <v>336200</v>
      </c>
      <c r="D161" s="3">
        <f>(11106.6*(1))*(1000)</f>
        <v>11106600</v>
      </c>
      <c r="E161" s="3">
        <f>1628.7*(1000)</f>
        <v>1628700</v>
      </c>
      <c r="F161" s="3">
        <f>439.7*(1000)</f>
        <v>439700</v>
      </c>
      <c r="G161" s="3">
        <f>5741.7*(1000)</f>
        <v>5741700</v>
      </c>
      <c r="H161" s="3">
        <f>1944.5*(1000)</f>
        <v>1944500</v>
      </c>
      <c r="I161" s="3">
        <f>448*(1000)</f>
        <v>448000</v>
      </c>
      <c r="J161" s="3">
        <f>811.7*(1000)</f>
        <v>811700</v>
      </c>
      <c r="K161" s="3">
        <f>2362.3*(1000)</f>
        <v>2362300</v>
      </c>
      <c r="L161" s="5">
        <f>0.862779*(1000000)</f>
        <v>862779</v>
      </c>
      <c r="M161" s="5">
        <f>0.778109*(1000000)</f>
        <v>778109</v>
      </c>
      <c r="N161" s="5">
        <v>347421</v>
      </c>
      <c r="O161" s="5">
        <f>0.098003*(1000000)</f>
        <v>98003</v>
      </c>
      <c r="P161" s="5">
        <f>0.098132*(1000000)</f>
        <v>98132</v>
      </c>
      <c r="Q161" s="5">
        <f>0.052203*(1000000)</f>
        <v>52203</v>
      </c>
      <c r="R161" s="5">
        <f>0.05582*(1000000)</f>
        <v>55820</v>
      </c>
      <c r="S161" s="5">
        <f>0.116311*(1000000)</f>
        <v>116311</v>
      </c>
      <c r="T161" s="8">
        <v>1281.8</v>
      </c>
      <c r="U161" s="8">
        <v>636.70000000000005</v>
      </c>
      <c r="V161" s="8">
        <v>2503.1</v>
      </c>
      <c r="W161" s="8">
        <v>416.8</v>
      </c>
      <c r="X161" s="8">
        <v>975.6</v>
      </c>
      <c r="Y161" s="8">
        <v>1366.2</v>
      </c>
    </row>
    <row r="162" spans="1:58" x14ac:dyDescent="0.25">
      <c r="A162" s="7">
        <v>41365</v>
      </c>
      <c r="B162" s="3">
        <f>(290.2*(1))*(1000)</f>
        <v>290200</v>
      </c>
      <c r="C162" s="3">
        <f>(336.9*(1))*(1000)</f>
        <v>336900</v>
      </c>
      <c r="D162" s="3">
        <f>(11129.1*(1))*(1000)</f>
        <v>11129100</v>
      </c>
      <c r="E162" s="3">
        <f>1628.4*(1000)</f>
        <v>1628400</v>
      </c>
      <c r="F162" s="3">
        <f>438.1*(1000)</f>
        <v>438100</v>
      </c>
      <c r="G162" s="3">
        <f>5734.4*(1000)</f>
        <v>5734400</v>
      </c>
      <c r="H162" s="3">
        <f>1946.1*(1000)</f>
        <v>1946100</v>
      </c>
      <c r="I162" s="3">
        <f>449.5*(1000)</f>
        <v>449500</v>
      </c>
      <c r="J162" s="3">
        <f>814.2*(1000)</f>
        <v>814200</v>
      </c>
      <c r="K162" s="3">
        <f>2367.3*(1000)</f>
        <v>2367300</v>
      </c>
      <c r="L162" s="5">
        <f>0.874539*(1000000)</f>
        <v>874539</v>
      </c>
      <c r="M162" s="5">
        <f>0.782669*(1000000)</f>
        <v>782669</v>
      </c>
      <c r="N162" s="5">
        <v>349534</v>
      </c>
      <c r="O162" s="5">
        <f>0.111346*(1000000)</f>
        <v>111346</v>
      </c>
      <c r="P162" s="5">
        <f>0.10231*(1000000)</f>
        <v>102310</v>
      </c>
      <c r="Q162" s="5">
        <f>0.052444*(1000000)</f>
        <v>52444</v>
      </c>
      <c r="R162" s="5">
        <f>0.057926*(1000000)</f>
        <v>57926</v>
      </c>
      <c r="S162" s="5">
        <f>0.117739*(1000000)</f>
        <v>117739</v>
      </c>
      <c r="T162" s="8">
        <v>1284.2</v>
      </c>
      <c r="U162" s="8">
        <v>638.79999999999995</v>
      </c>
      <c r="V162" s="8">
        <v>2509.6999999999998</v>
      </c>
      <c r="W162" s="8">
        <v>415.5</v>
      </c>
      <c r="X162" s="8">
        <v>974.8</v>
      </c>
      <c r="Y162" s="8">
        <v>1369.6</v>
      </c>
    </row>
    <row r="163" spans="1:58" x14ac:dyDescent="0.25">
      <c r="A163" s="7">
        <v>41395</v>
      </c>
      <c r="B163" s="3">
        <f>(290*(1))*(1000)</f>
        <v>290000</v>
      </c>
      <c r="C163" s="3">
        <f>(335.7*(1))*(1000)</f>
        <v>335700</v>
      </c>
      <c r="D163" s="3">
        <f>(11148.7*(1))*(1000)</f>
        <v>11148700</v>
      </c>
      <c r="E163" s="3">
        <f>1630.2*(1000)</f>
        <v>1630200</v>
      </c>
      <c r="F163" s="3">
        <f>441.8*(1000)</f>
        <v>441800</v>
      </c>
      <c r="G163" s="3">
        <f>5732.5*(1000)</f>
        <v>5732500</v>
      </c>
      <c r="H163" s="3">
        <f>1948.5*(1000)</f>
        <v>1948500</v>
      </c>
      <c r="I163" s="3">
        <f>448.6*(1000)</f>
        <v>448600</v>
      </c>
      <c r="J163" s="3">
        <f>813.8*(1000)</f>
        <v>813800</v>
      </c>
      <c r="K163" s="3">
        <f>2373.3*(1000)</f>
        <v>2373300</v>
      </c>
      <c r="L163" s="5">
        <f>0.929824*(1000000)</f>
        <v>929824</v>
      </c>
      <c r="M163" s="5">
        <f>0.801032*(1000000)</f>
        <v>801032</v>
      </c>
      <c r="N163" s="5">
        <v>356704</v>
      </c>
      <c r="O163" s="5">
        <f>0.1183*(1000000)</f>
        <v>118300</v>
      </c>
      <c r="P163" s="5">
        <f>0.11112*(1000000)</f>
        <v>111120</v>
      </c>
      <c r="Q163" s="5">
        <f>0.04913*(1000000)</f>
        <v>49130</v>
      </c>
      <c r="R163" s="5">
        <f>0.057772*(1000000)</f>
        <v>57772</v>
      </c>
      <c r="S163" s="5">
        <f>0.120493*(1000000)</f>
        <v>120493</v>
      </c>
      <c r="T163" s="8">
        <v>1286.9000000000001</v>
      </c>
      <c r="U163" s="8">
        <v>639.79999999999995</v>
      </c>
      <c r="V163" s="8">
        <v>2511.1999999999998</v>
      </c>
      <c r="W163" s="8">
        <v>417.1</v>
      </c>
      <c r="X163" s="8">
        <v>977.7</v>
      </c>
      <c r="Y163" s="8">
        <v>1367.6</v>
      </c>
    </row>
    <row r="164" spans="1:58" x14ac:dyDescent="0.25">
      <c r="A164" s="7">
        <v>41426</v>
      </c>
      <c r="B164" s="3">
        <f>(290.5*(1))*(1000)</f>
        <v>290500</v>
      </c>
      <c r="C164" s="3">
        <f>(336.1*(1))*(1000)</f>
        <v>336100</v>
      </c>
      <c r="D164" s="3">
        <f>(11179*(1))*(1000)</f>
        <v>11179000</v>
      </c>
      <c r="E164" s="3">
        <f>1631.9*(1000)</f>
        <v>1631900</v>
      </c>
      <c r="F164" s="3">
        <f>443.1*(1000)</f>
        <v>443100</v>
      </c>
      <c r="G164" s="3">
        <f>5733*(1000)</f>
        <v>5733000</v>
      </c>
      <c r="H164" s="3">
        <f>1951.5*(1000)</f>
        <v>1951500</v>
      </c>
      <c r="I164" s="3">
        <f>448.3*(1000)</f>
        <v>448300</v>
      </c>
      <c r="J164" s="3">
        <f>808.3*(1000)</f>
        <v>808300</v>
      </c>
      <c r="K164" s="3">
        <f>2380.5*(1000)</f>
        <v>2380500</v>
      </c>
      <c r="L164" s="5">
        <f>0.979336*(1000000)</f>
        <v>979336</v>
      </c>
      <c r="M164" s="5">
        <f>0.814024*(1000000)</f>
        <v>814024</v>
      </c>
      <c r="N164" s="5">
        <v>355998</v>
      </c>
      <c r="O164" s="5">
        <f>0.121344*(1000000)</f>
        <v>121344</v>
      </c>
      <c r="P164" s="5">
        <f>0.111624*(1000000)</f>
        <v>111624</v>
      </c>
      <c r="Q164" s="5">
        <f>0.050503*(1000000)</f>
        <v>50503</v>
      </c>
      <c r="R164" s="5">
        <f>0.056449*(1000000)</f>
        <v>56449</v>
      </c>
      <c r="S164" s="5">
        <f>0.126509*(1000000)</f>
        <v>126509.00000000001</v>
      </c>
      <c r="T164" s="8">
        <v>1287.0999999999999</v>
      </c>
      <c r="U164" s="8">
        <v>640.6</v>
      </c>
      <c r="V164" s="8">
        <v>2512.3000000000002</v>
      </c>
      <c r="W164" s="8">
        <v>417.2</v>
      </c>
      <c r="X164" s="8">
        <v>977</v>
      </c>
      <c r="Y164" s="8">
        <v>1366.3</v>
      </c>
    </row>
    <row r="165" spans="1:58" x14ac:dyDescent="0.25">
      <c r="A165" s="7">
        <v>41456</v>
      </c>
      <c r="B165" s="3">
        <f>(290.5*(1))*(1000)</f>
        <v>290500</v>
      </c>
      <c r="C165" s="3">
        <f>(335.5*(1))*(1000)</f>
        <v>335500</v>
      </c>
      <c r="D165" s="3">
        <f>(11211.6*(1))*(1000)</f>
        <v>11211600</v>
      </c>
      <c r="E165" s="3">
        <f>1633.5*(1000)</f>
        <v>1633500</v>
      </c>
      <c r="F165" s="3">
        <f>445.5*(1000)</f>
        <v>445500</v>
      </c>
      <c r="G165" s="3">
        <f>5738.9*(1000)</f>
        <v>5738900</v>
      </c>
      <c r="H165" s="3">
        <f>1949.5*(1000)</f>
        <v>1949500</v>
      </c>
      <c r="I165" s="3">
        <f>449.1*(1000)</f>
        <v>449100</v>
      </c>
      <c r="J165" s="3">
        <f>809.5*(1000)</f>
        <v>809500</v>
      </c>
      <c r="K165" s="3">
        <f>2386.6*(1000)</f>
        <v>2386600</v>
      </c>
      <c r="L165" s="5">
        <f>1.008952*(1000000)</f>
        <v>1008952.0000000001</v>
      </c>
      <c r="M165" s="5">
        <f>0.866127*(1000000)</f>
        <v>866127</v>
      </c>
      <c r="N165" s="5">
        <v>363841</v>
      </c>
      <c r="O165" s="5">
        <f>0.121214*(1000000)</f>
        <v>121214</v>
      </c>
      <c r="P165" s="5">
        <f>0.116668*(1000000)</f>
        <v>116668</v>
      </c>
      <c r="Q165" s="5">
        <f>0.050295*(1000000)</f>
        <v>50295</v>
      </c>
      <c r="R165" s="5">
        <f>0.056967*(1000000)</f>
        <v>56967</v>
      </c>
      <c r="S165" s="5">
        <f>0.134574*(1000000)</f>
        <v>134574</v>
      </c>
      <c r="T165" s="8">
        <v>1292.0999999999999</v>
      </c>
      <c r="U165" s="8">
        <v>640.4</v>
      </c>
      <c r="V165" s="8">
        <v>2512.6</v>
      </c>
      <c r="W165" s="8">
        <v>417.1</v>
      </c>
      <c r="X165" s="8">
        <v>979.1</v>
      </c>
      <c r="Y165" s="8">
        <v>1373.3</v>
      </c>
    </row>
    <row r="166" spans="1:58" x14ac:dyDescent="0.25">
      <c r="A166" s="7">
        <v>41487</v>
      </c>
      <c r="B166" s="3">
        <f>(290.5*(1))*(1000)</f>
        <v>290500</v>
      </c>
      <c r="C166" s="3">
        <f>(336.3*(1))*(1000)</f>
        <v>336300</v>
      </c>
      <c r="D166" s="3">
        <f>(11228.2*(1))*(1000)</f>
        <v>11228200</v>
      </c>
      <c r="E166" s="3">
        <f>1635.2*(1000)</f>
        <v>1635200</v>
      </c>
      <c r="F166" s="3">
        <f>447.1*(1000)</f>
        <v>447100</v>
      </c>
      <c r="G166" s="3">
        <f>5745.7*(1000)</f>
        <v>5745700</v>
      </c>
      <c r="H166" s="3">
        <f>1953.1*(1000)</f>
        <v>1953100</v>
      </c>
      <c r="I166" s="3">
        <f>449.3*(1000)</f>
        <v>449300</v>
      </c>
      <c r="J166" s="3">
        <f>811.8*(1000)</f>
        <v>811800</v>
      </c>
      <c r="K166" s="3">
        <f>2393*(1000)</f>
        <v>2393000</v>
      </c>
      <c r="L166" s="5">
        <f>1.024191*(1000000)</f>
        <v>1024191.0000000001</v>
      </c>
      <c r="M166" s="5">
        <f>0.902689*(1000000)</f>
        <v>902689</v>
      </c>
      <c r="N166" s="5">
        <v>367053</v>
      </c>
      <c r="O166" s="5">
        <f>0.131399*(1000000)</f>
        <v>131399</v>
      </c>
      <c r="P166" s="5">
        <f>0.121877*(1000000)</f>
        <v>121877</v>
      </c>
      <c r="Q166" s="5">
        <f>0.04946*(1000000)</f>
        <v>49460</v>
      </c>
      <c r="R166" s="5">
        <f>0.059819*(1000000)</f>
        <v>59819</v>
      </c>
      <c r="S166" s="5">
        <f>0.14659*(1000000)</f>
        <v>146590</v>
      </c>
      <c r="T166" s="8">
        <v>1291.7</v>
      </c>
      <c r="U166" s="8">
        <v>640</v>
      </c>
      <c r="V166" s="8">
        <v>2518.3000000000002</v>
      </c>
      <c r="W166" s="8">
        <v>418.1</v>
      </c>
      <c r="X166" s="8">
        <v>980.9</v>
      </c>
      <c r="Y166" s="8">
        <v>1376.7</v>
      </c>
    </row>
    <row r="167" spans="1:58" x14ac:dyDescent="0.25">
      <c r="A167" s="7">
        <v>41518</v>
      </c>
      <c r="B167" s="3">
        <f>(288.9*(1))*(1000)</f>
        <v>288900</v>
      </c>
      <c r="C167" s="3">
        <f>(336.6*(1))*(1000)</f>
        <v>336600</v>
      </c>
      <c r="D167" s="3">
        <f>(11258.5*(1))*(1000)</f>
        <v>11258500</v>
      </c>
      <c r="E167" s="3">
        <f>1636.6*(1000)</f>
        <v>1636600</v>
      </c>
      <c r="F167" s="3">
        <f>447.6*(1000)</f>
        <v>447600</v>
      </c>
      <c r="G167" s="3">
        <f>5747.2*(1000)</f>
        <v>5747200</v>
      </c>
      <c r="H167" s="3">
        <f>1954.8*(1000)</f>
        <v>1954800</v>
      </c>
      <c r="I167" s="3">
        <f>449.8*(1000)</f>
        <v>449800</v>
      </c>
      <c r="J167" s="3">
        <f>810.4*(1000)</f>
        <v>810400</v>
      </c>
      <c r="K167" s="3">
        <f>2397.1*(1000)</f>
        <v>2397100</v>
      </c>
      <c r="L167" s="5">
        <f>1.050859*(1000000)</f>
        <v>1050859</v>
      </c>
      <c r="M167" s="5">
        <f>0.923861*(1000000)</f>
        <v>923861</v>
      </c>
      <c r="N167" s="5">
        <v>373649</v>
      </c>
      <c r="O167" s="5">
        <f>0.139193*(1000000)</f>
        <v>139193</v>
      </c>
      <c r="P167" s="5">
        <f>0.125464*(1000000)</f>
        <v>125463.99999999999</v>
      </c>
      <c r="Q167" s="5">
        <f>0.05049*(1000000)</f>
        <v>50490</v>
      </c>
      <c r="R167" s="5">
        <f>0.060677*(1000000)</f>
        <v>60677</v>
      </c>
      <c r="S167" s="5">
        <f>0.126518*(1000000)</f>
        <v>126517.99999999999</v>
      </c>
      <c r="T167" s="8">
        <v>1294.2</v>
      </c>
      <c r="U167" s="8">
        <v>639.79999999999995</v>
      </c>
      <c r="V167" s="8">
        <v>2525.6</v>
      </c>
      <c r="W167" s="8">
        <v>418.5</v>
      </c>
      <c r="X167" s="8">
        <v>981.9</v>
      </c>
      <c r="Y167" s="8">
        <v>1380.2</v>
      </c>
    </row>
    <row r="168" spans="1:58" x14ac:dyDescent="0.25">
      <c r="A168" s="7">
        <v>41548</v>
      </c>
      <c r="B168" s="3">
        <f>(291.9*(1))*(1000)</f>
        <v>291900</v>
      </c>
      <c r="C168" s="3">
        <f>(337.2*(1))*(1000)</f>
        <v>337200</v>
      </c>
      <c r="D168" s="3">
        <f>(11286.5*(1))*(1000)</f>
        <v>11286500</v>
      </c>
      <c r="E168" s="3">
        <f>1637.1*(1000)</f>
        <v>1637100</v>
      </c>
      <c r="F168" s="3">
        <f>449.2*(1000)</f>
        <v>449200</v>
      </c>
      <c r="G168" s="3">
        <f>5754.1*(1000)</f>
        <v>5754100</v>
      </c>
      <c r="H168" s="3">
        <f>1964.4*(1000)</f>
        <v>1964400</v>
      </c>
      <c r="I168" s="3">
        <f>448.3*(1000)</f>
        <v>448300</v>
      </c>
      <c r="J168" s="3">
        <f>810.8*(1000)</f>
        <v>810800</v>
      </c>
      <c r="K168" s="3">
        <f>2400.9*(1000)</f>
        <v>2400900</v>
      </c>
      <c r="L168" s="5">
        <f>1.039813*(1000000)</f>
        <v>1039813.0000000001</v>
      </c>
      <c r="M168" s="5">
        <f>0.934039*(1000000)</f>
        <v>934039</v>
      </c>
      <c r="N168" s="5">
        <v>386133</v>
      </c>
      <c r="O168" s="5">
        <f>0.1356*(1000000)</f>
        <v>135600</v>
      </c>
      <c r="P168" s="5">
        <f>0.13002*(1000000)</f>
        <v>130020</v>
      </c>
      <c r="Q168" s="5">
        <f>0.053271*(1000000)</f>
        <v>53271</v>
      </c>
      <c r="R168" s="5">
        <f>0.059237*(1000000)</f>
        <v>59237</v>
      </c>
      <c r="S168" s="5">
        <f>0.171313*(1000000)</f>
        <v>171313</v>
      </c>
      <c r="T168" s="8">
        <v>1300.7</v>
      </c>
      <c r="U168" s="8">
        <v>640.4</v>
      </c>
      <c r="V168" s="8">
        <v>2526.3000000000002</v>
      </c>
      <c r="W168" s="8">
        <v>416.7</v>
      </c>
      <c r="X168" s="8">
        <v>983.5</v>
      </c>
      <c r="Y168" s="8">
        <v>1382.7</v>
      </c>
    </row>
    <row r="169" spans="1:58" x14ac:dyDescent="0.25">
      <c r="A169" s="7">
        <v>41579</v>
      </c>
      <c r="B169" s="3">
        <f>(293.1*(1))*(1000)</f>
        <v>293100</v>
      </c>
      <c r="C169" s="3">
        <f>(338.6*(1))*(1000)</f>
        <v>338600</v>
      </c>
      <c r="D169" s="3">
        <f>(11301*(1))*(1000)</f>
        <v>11301000</v>
      </c>
      <c r="E169" s="3">
        <f>1643.5*(1000)</f>
        <v>1643500</v>
      </c>
      <c r="F169" s="3">
        <f>451.6*(1000)</f>
        <v>451600</v>
      </c>
      <c r="G169" s="3">
        <f>5765.1*(1000)</f>
        <v>5765100</v>
      </c>
      <c r="H169" s="3">
        <f>1963.4*(1000)</f>
        <v>1963400</v>
      </c>
      <c r="I169" s="3">
        <f>449.9*(1000)</f>
        <v>449900</v>
      </c>
      <c r="J169" s="3">
        <f>811.1*(1000)</f>
        <v>811100</v>
      </c>
      <c r="K169" s="3">
        <f>2402.9*(1000)</f>
        <v>2402900</v>
      </c>
      <c r="L169" s="5">
        <f>1.064672*(1000000)</f>
        <v>1064672</v>
      </c>
      <c r="M169" s="5">
        <f>0.967053*(1000000)</f>
        <v>967053</v>
      </c>
      <c r="N169" s="5">
        <v>380954</v>
      </c>
      <c r="O169" s="5">
        <f>0.131318*(1000000)</f>
        <v>131318</v>
      </c>
      <c r="P169" s="5">
        <f>0.126147*(1000000)</f>
        <v>126147.00000000001</v>
      </c>
      <c r="Q169" s="5">
        <f>0.050983*(1000000)</f>
        <v>50983</v>
      </c>
      <c r="R169" s="5">
        <f>0.055582*(1000000)</f>
        <v>55582</v>
      </c>
      <c r="S169" s="5">
        <f>0.182321*(1000000)</f>
        <v>182321</v>
      </c>
      <c r="T169" s="8">
        <v>1303.4000000000001</v>
      </c>
      <c r="U169" s="8">
        <v>639.1</v>
      </c>
      <c r="V169" s="8">
        <v>2534.1999999999998</v>
      </c>
      <c r="W169" s="8">
        <v>418.1</v>
      </c>
      <c r="X169" s="8">
        <v>983.3</v>
      </c>
      <c r="Y169" s="8">
        <v>1384.9</v>
      </c>
    </row>
    <row r="170" spans="1:58" x14ac:dyDescent="0.25">
      <c r="A170" s="7">
        <v>41609</v>
      </c>
      <c r="B170" s="3">
        <f>(292.9*(1))*(1000)</f>
        <v>292900</v>
      </c>
      <c r="C170" s="3">
        <f>(338.8*(1))*(1000)</f>
        <v>338800</v>
      </c>
      <c r="D170" s="3">
        <f>(11325.4*(1))*(1000)</f>
        <v>11325400</v>
      </c>
      <c r="E170" s="3">
        <f>1645.2*(1000)</f>
        <v>1645200</v>
      </c>
      <c r="F170" s="3">
        <f>451.7*(1000)</f>
        <v>451700</v>
      </c>
      <c r="G170" s="3">
        <f>5758.1*(1000)</f>
        <v>5758100</v>
      </c>
      <c r="H170" s="3">
        <f>1963.2*(1000)</f>
        <v>1963200</v>
      </c>
      <c r="I170" s="3">
        <f>450.6*(1000)</f>
        <v>450600</v>
      </c>
      <c r="J170" s="3">
        <f>811*(1000)</f>
        <v>811000</v>
      </c>
      <c r="K170" s="3">
        <f>2404.9*(1000)</f>
        <v>2404900</v>
      </c>
      <c r="L170" s="5">
        <f>1.12582*(1000000)</f>
        <v>1125820</v>
      </c>
      <c r="M170" s="5">
        <f>0.921112*(1000000)</f>
        <v>921112</v>
      </c>
      <c r="N170" s="5">
        <v>396748</v>
      </c>
      <c r="O170" s="5">
        <f>0.139171*(1000000)</f>
        <v>139171</v>
      </c>
      <c r="P170" s="5">
        <f>0.139306*(1000000)</f>
        <v>139306</v>
      </c>
      <c r="Q170" s="5">
        <f>0.051986*(1000000)</f>
        <v>51986</v>
      </c>
      <c r="R170" s="5">
        <f>0.055731*(1000000)</f>
        <v>55731</v>
      </c>
      <c r="S170" s="5">
        <f>0.174945*(1000000)</f>
        <v>174945</v>
      </c>
      <c r="T170" s="8">
        <v>1303.5999999999999</v>
      </c>
      <c r="U170" s="8">
        <v>638.20000000000005</v>
      </c>
      <c r="V170" s="8">
        <v>2542.3000000000002</v>
      </c>
      <c r="W170" s="8">
        <v>418.1</v>
      </c>
      <c r="X170" s="8">
        <v>982.5</v>
      </c>
      <c r="Y170" s="8">
        <v>1382.7</v>
      </c>
    </row>
    <row r="171" spans="1:58" x14ac:dyDescent="0.25">
      <c r="A171" s="7">
        <v>41640</v>
      </c>
      <c r="B171" s="3">
        <f>(293.9*(1))*(1000)</f>
        <v>293900</v>
      </c>
      <c r="C171" s="3">
        <f>(338*(1))*(1000)</f>
        <v>338000</v>
      </c>
      <c r="D171" s="3">
        <f>(11368.4*(1))*(1000)</f>
        <v>11368400</v>
      </c>
      <c r="E171" s="3">
        <f>1650.9*(1000)</f>
        <v>1650900</v>
      </c>
      <c r="F171" s="3">
        <f>451.4*(1000)</f>
        <v>451400</v>
      </c>
      <c r="G171" s="3">
        <f>5757.3*(1000)</f>
        <v>5757300</v>
      </c>
      <c r="H171" s="3">
        <f>1953.1*(1000)</f>
        <v>1953100</v>
      </c>
      <c r="I171" s="3">
        <f>452.4*(1000)</f>
        <v>452400</v>
      </c>
      <c r="J171" s="3">
        <f>811.5*(1000)</f>
        <v>811500</v>
      </c>
      <c r="K171" s="3">
        <f>2416.1*(1000)</f>
        <v>2416100</v>
      </c>
      <c r="L171" s="5">
        <f>1.15916*(1000000)</f>
        <v>1159160</v>
      </c>
      <c r="M171" s="5">
        <f>0.927443*(1000000)</f>
        <v>927443</v>
      </c>
      <c r="N171" s="5">
        <v>413204</v>
      </c>
      <c r="O171" s="5">
        <f>0.151077*(1000000)</f>
        <v>151077</v>
      </c>
      <c r="P171" s="5">
        <f>0.147622*(1000000)</f>
        <v>147622</v>
      </c>
      <c r="Q171" s="5">
        <f>0.051912*(1000000)</f>
        <v>51912</v>
      </c>
      <c r="R171" s="5">
        <f>0.05621*(1000000)</f>
        <v>56210</v>
      </c>
      <c r="S171" s="5">
        <f>0.177075*(1000000)</f>
        <v>177075</v>
      </c>
      <c r="T171" s="8">
        <v>1305.5</v>
      </c>
      <c r="U171" s="8">
        <v>638.5</v>
      </c>
      <c r="V171" s="8">
        <v>2553.1999999999998</v>
      </c>
      <c r="W171" s="8">
        <v>418.9</v>
      </c>
      <c r="X171" s="8">
        <v>985.6</v>
      </c>
      <c r="Y171" s="8">
        <v>1380.2</v>
      </c>
      <c r="AH171" t="s">
        <v>50</v>
      </c>
      <c r="AI171" s="3">
        <v>5.15</v>
      </c>
      <c r="AJ171" s="3">
        <v>8.75</v>
      </c>
      <c r="AK171" s="3">
        <v>7.25</v>
      </c>
      <c r="AL171" s="3">
        <v>7.25</v>
      </c>
      <c r="AM171" s="3">
        <v>7.25</v>
      </c>
      <c r="AN171" s="3">
        <v>7.25</v>
      </c>
      <c r="AO171" s="3">
        <v>0</v>
      </c>
      <c r="AP171" s="3">
        <v>8.0500000000000007</v>
      </c>
      <c r="AQ171" s="3">
        <v>7.5</v>
      </c>
      <c r="AR171" s="3">
        <v>8.23</v>
      </c>
      <c r="BA171" s="8">
        <v>7.25</v>
      </c>
      <c r="BB171" s="8">
        <v>7.25</v>
      </c>
      <c r="BC171" s="8">
        <v>8.0500000000000007</v>
      </c>
      <c r="BD171" s="8">
        <v>8.5</v>
      </c>
      <c r="BE171" s="8">
        <v>8</v>
      </c>
      <c r="BF171" s="8">
        <v>7.25</v>
      </c>
    </row>
    <row r="172" spans="1:58" x14ac:dyDescent="0.25">
      <c r="A172" s="7">
        <v>41671</v>
      </c>
      <c r="B172" s="3">
        <f>(293*(1))*(1000)</f>
        <v>293000</v>
      </c>
      <c r="C172" s="3">
        <f>(335.8*(1))*(1000)</f>
        <v>335800</v>
      </c>
      <c r="D172" s="3">
        <f>(11407.5*(1))*(1000)</f>
        <v>11407500</v>
      </c>
      <c r="E172" s="3">
        <f>1649.5*(1000)</f>
        <v>1649500</v>
      </c>
      <c r="F172" s="3">
        <f>457.2*(1000)</f>
        <v>457200</v>
      </c>
      <c r="G172" s="3">
        <f>5767.3*(1000)</f>
        <v>5767300</v>
      </c>
      <c r="H172" s="3">
        <f>1954.5*(1000)</f>
        <v>1954500</v>
      </c>
      <c r="I172" s="3">
        <f>452.5*(1000)</f>
        <v>452500</v>
      </c>
      <c r="J172" s="3">
        <f>811.1*(1000)</f>
        <v>811100</v>
      </c>
      <c r="K172" s="3">
        <f>2420*(1000)</f>
        <v>2420000</v>
      </c>
      <c r="L172" s="5">
        <f>1.210506*(1000000)</f>
        <v>1210506</v>
      </c>
      <c r="M172" s="5">
        <f>0.944444*(1000000)</f>
        <v>944444</v>
      </c>
      <c r="N172" s="5">
        <v>422138</v>
      </c>
      <c r="O172" s="5">
        <f>0.160653*(1000000)</f>
        <v>160653</v>
      </c>
      <c r="P172" s="5">
        <f>0.150468*(1000000)</f>
        <v>150468</v>
      </c>
      <c r="Q172" s="5">
        <f>0.051539*(1000000)</f>
        <v>51539</v>
      </c>
      <c r="R172" s="5">
        <f>0.056903*(1000000)</f>
        <v>56903</v>
      </c>
      <c r="S172" s="5">
        <f>0.182733*(1000000)</f>
        <v>182733</v>
      </c>
      <c r="T172" s="8">
        <v>1309.9000000000001</v>
      </c>
      <c r="U172" s="8">
        <v>641.1</v>
      </c>
      <c r="V172" s="8">
        <v>2544.6999999999998</v>
      </c>
      <c r="W172" s="8">
        <v>419.9</v>
      </c>
      <c r="X172" s="8">
        <v>988.6</v>
      </c>
      <c r="Y172" s="8">
        <v>1381</v>
      </c>
      <c r="AH172" t="s">
        <v>51</v>
      </c>
      <c r="AI172" s="3">
        <v>0</v>
      </c>
      <c r="AJ172" s="3">
        <v>1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1</v>
      </c>
      <c r="AQ172" s="9">
        <v>1</v>
      </c>
      <c r="AR172" s="9">
        <v>1</v>
      </c>
      <c r="AU172" s="10"/>
      <c r="AV172" s="10"/>
      <c r="AW172" s="10"/>
      <c r="AX172" s="10"/>
      <c r="AY172" s="10"/>
      <c r="BA172" s="8">
        <v>0</v>
      </c>
      <c r="BB172" s="8">
        <v>0</v>
      </c>
      <c r="BC172" s="8">
        <v>1</v>
      </c>
      <c r="BD172" s="8">
        <v>1</v>
      </c>
      <c r="BE172" s="8">
        <v>1</v>
      </c>
      <c r="BF172" s="8">
        <v>0</v>
      </c>
    </row>
    <row r="173" spans="1:58" x14ac:dyDescent="0.25">
      <c r="A173" s="7">
        <v>41699</v>
      </c>
      <c r="B173" s="3">
        <f>(294.4*(1))*(1000)</f>
        <v>294400</v>
      </c>
      <c r="C173" s="3">
        <f>(336.4*(1))*(1000)</f>
        <v>336400</v>
      </c>
      <c r="D173" s="3">
        <f>(11413*(1))*(1000)</f>
        <v>11413000</v>
      </c>
      <c r="E173" s="3">
        <f>1649.9*(1000)</f>
        <v>1649900</v>
      </c>
      <c r="F173" s="3">
        <f>459.5*(1000)</f>
        <v>459500</v>
      </c>
      <c r="G173" s="3">
        <f>5757.9*(1000)</f>
        <v>5757900</v>
      </c>
      <c r="H173" s="3">
        <f>1955.8*(1000)</f>
        <v>1955800</v>
      </c>
      <c r="I173" s="3">
        <f>453.5*(1000)</f>
        <v>453500</v>
      </c>
      <c r="J173" s="3">
        <f>810.1*(1000)</f>
        <v>810100</v>
      </c>
      <c r="K173" s="3">
        <f>2424.2*(1000)</f>
        <v>2424200</v>
      </c>
      <c r="L173" s="5">
        <f>1.22783*(1000000)</f>
        <v>1227830</v>
      </c>
      <c r="M173" s="5">
        <f>0.96693*(1000000)</f>
        <v>966930</v>
      </c>
      <c r="N173" s="5">
        <v>432791</v>
      </c>
      <c r="O173" s="5">
        <f>0.169225*(1000000)</f>
        <v>169225</v>
      </c>
      <c r="P173" s="5">
        <f>0.164328*(1000000)</f>
        <v>164328</v>
      </c>
      <c r="Q173" s="5">
        <f>0.051677*(1000000)</f>
        <v>51677</v>
      </c>
      <c r="R173" s="5">
        <f>0.056029*(1000000)</f>
        <v>56029</v>
      </c>
      <c r="S173" s="5">
        <f>0.196644*(1000000)</f>
        <v>196644</v>
      </c>
      <c r="T173" s="8">
        <v>1317</v>
      </c>
      <c r="U173" s="8">
        <v>641.29999999999995</v>
      </c>
      <c r="V173" s="8">
        <v>2550.5</v>
      </c>
      <c r="W173" s="8">
        <v>419.9</v>
      </c>
      <c r="X173" s="8">
        <v>986.6</v>
      </c>
      <c r="Y173" s="8">
        <v>1383.9</v>
      </c>
      <c r="AH173" t="s">
        <v>52</v>
      </c>
      <c r="AI173" s="3">
        <v>1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1</v>
      </c>
      <c r="AP173" s="3">
        <v>0</v>
      </c>
      <c r="AQ173" s="3">
        <v>0</v>
      </c>
      <c r="AR173" s="3">
        <v>0</v>
      </c>
      <c r="BA173" s="8">
        <v>0</v>
      </c>
      <c r="BB173" s="8">
        <v>0</v>
      </c>
      <c r="BC173" s="8">
        <v>0</v>
      </c>
      <c r="BD173" s="8">
        <v>0</v>
      </c>
      <c r="BE173" s="8">
        <v>0</v>
      </c>
      <c r="BF173" s="8">
        <v>0</v>
      </c>
    </row>
    <row r="174" spans="1:58" x14ac:dyDescent="0.25">
      <c r="A174" s="7">
        <v>41730</v>
      </c>
      <c r="B174" s="3">
        <f>(293.7*(1))*(1000)</f>
        <v>293700</v>
      </c>
      <c r="C174" s="3">
        <f>(338.8*(1))*(1000)</f>
        <v>338800</v>
      </c>
      <c r="D174" s="3">
        <f>(11475.4*(1))*(1000)</f>
        <v>11475400</v>
      </c>
      <c r="E174" s="3">
        <f>1655.1*(1000)</f>
        <v>1655100</v>
      </c>
      <c r="F174" s="3">
        <f>461*(1000)</f>
        <v>461000</v>
      </c>
      <c r="G174" s="3">
        <f>5770.2*(1000)</f>
        <v>5770200</v>
      </c>
      <c r="H174" s="3">
        <f>1959.7*(1000)</f>
        <v>1959700</v>
      </c>
      <c r="I174" s="3">
        <f>453.5*(1000)</f>
        <v>453500</v>
      </c>
      <c r="J174" s="3">
        <f>807.9*(1000)</f>
        <v>807900</v>
      </c>
      <c r="K174" s="3">
        <f>2434.7*(1000)</f>
        <v>2434700</v>
      </c>
      <c r="L174" s="5">
        <f>1.298755*(1000000)</f>
        <v>1298755</v>
      </c>
      <c r="M174" s="5">
        <f>0.993123*(1000000)</f>
        <v>993123</v>
      </c>
      <c r="N174" s="5">
        <v>436683</v>
      </c>
      <c r="O174" s="5">
        <f>0.17563*(1000000)</f>
        <v>175630</v>
      </c>
      <c r="P174" s="5">
        <f>0.173298*(1000000)</f>
        <v>173298</v>
      </c>
      <c r="Q174" s="5">
        <f>0.050922*(1000000)</f>
        <v>50922</v>
      </c>
      <c r="R174" s="5">
        <f>0.059956*(1000000)</f>
        <v>59956</v>
      </c>
      <c r="S174" s="5">
        <f>0.206954*(1000000)</f>
        <v>206954</v>
      </c>
      <c r="T174" s="8">
        <v>1319.4</v>
      </c>
      <c r="U174" s="8">
        <v>643.20000000000005</v>
      </c>
      <c r="V174" s="8">
        <v>2549.6999999999998</v>
      </c>
      <c r="W174" s="8">
        <v>421.3</v>
      </c>
      <c r="X174" s="8">
        <v>987.2</v>
      </c>
      <c r="Y174" s="8">
        <v>1383.4</v>
      </c>
    </row>
    <row r="175" spans="1:58" x14ac:dyDescent="0.25">
      <c r="A175" s="7">
        <v>41760</v>
      </c>
      <c r="B175" s="3">
        <f>(292.8*(1))*(1000)</f>
        <v>292800</v>
      </c>
      <c r="C175" s="3">
        <f>(339.5*(1))*(1000)</f>
        <v>339500</v>
      </c>
      <c r="D175" s="3">
        <f>(11530.9*(1))*(1000)</f>
        <v>11530900</v>
      </c>
      <c r="E175" s="3">
        <f>1656.2*(1000)</f>
        <v>1656200</v>
      </c>
      <c r="F175" s="3">
        <f>461.8*(1000)</f>
        <v>461800</v>
      </c>
      <c r="G175" s="3">
        <f>5787.9*(1000)</f>
        <v>5787900</v>
      </c>
      <c r="H175" s="3">
        <f>1968.2*(1000)</f>
        <v>1968200</v>
      </c>
      <c r="I175" s="3">
        <f>452.9*(1000)</f>
        <v>452900</v>
      </c>
      <c r="J175" s="3">
        <f>812.6*(1000)</f>
        <v>812600</v>
      </c>
      <c r="K175" s="3">
        <f>2443.8*(1000)</f>
        <v>2443800</v>
      </c>
      <c r="L175" s="5">
        <f>1.304857*(1000000)</f>
        <v>1304857</v>
      </c>
      <c r="M175" s="5">
        <f>1.026725*(1000000)</f>
        <v>1026725.0000000001</v>
      </c>
      <c r="N175" s="5">
        <v>442629</v>
      </c>
      <c r="O175" s="5">
        <f>0.181787*(1000000)</f>
        <v>181787</v>
      </c>
      <c r="P175" s="5">
        <f>0.188976*(1000000)</f>
        <v>188976</v>
      </c>
      <c r="Q175" s="5">
        <f>0.052166*(1000000)</f>
        <v>52166</v>
      </c>
      <c r="R175" s="5">
        <f>0.060153*(1000000)</f>
        <v>60153</v>
      </c>
      <c r="S175" s="5">
        <f>0.222616*(1000000)</f>
        <v>222616</v>
      </c>
      <c r="T175" s="8">
        <v>1326.1</v>
      </c>
      <c r="U175" s="8">
        <v>643.79999999999995</v>
      </c>
      <c r="V175" s="8">
        <v>2540.4</v>
      </c>
      <c r="W175" s="8">
        <v>419.6</v>
      </c>
      <c r="X175" s="8">
        <v>986.3</v>
      </c>
      <c r="Y175" s="8">
        <v>1384.2</v>
      </c>
    </row>
    <row r="176" spans="1:58" x14ac:dyDescent="0.25">
      <c r="A176" s="7">
        <v>41791</v>
      </c>
      <c r="B176" s="3">
        <f>(292.7*(1))*(1000)</f>
        <v>292700</v>
      </c>
      <c r="C176" s="3">
        <f>(333.4*(1))*(1000)</f>
        <v>333400</v>
      </c>
      <c r="D176" s="3">
        <f>(11561.2*(1))*(1000)</f>
        <v>11561200</v>
      </c>
      <c r="E176" s="3">
        <f>1664.8*(1000)</f>
        <v>1664800</v>
      </c>
      <c r="F176" s="3">
        <f>465.2*(1000)</f>
        <v>465200</v>
      </c>
      <c r="G176" s="3">
        <f>5793.7*(1000)</f>
        <v>5793700</v>
      </c>
      <c r="H176" s="3">
        <f>1973.6*(1000)</f>
        <v>1973600</v>
      </c>
      <c r="I176" s="3">
        <f>454.8*(1000)</f>
        <v>454800</v>
      </c>
      <c r="J176" s="3">
        <f>807.6*(1000)</f>
        <v>807600</v>
      </c>
      <c r="K176" s="3">
        <f>2446.7*(1000)</f>
        <v>2446700</v>
      </c>
      <c r="L176" s="5">
        <f>1.366182*(1000000)</f>
        <v>1366182</v>
      </c>
      <c r="M176" s="5">
        <f>1.084484*(1000000)</f>
        <v>1084484</v>
      </c>
      <c r="N176" s="5">
        <v>449824</v>
      </c>
      <c r="O176" s="5">
        <f>0.18829*(1000000)</f>
        <v>188290</v>
      </c>
      <c r="P176" s="5">
        <f>0.191133*(1000000)</f>
        <v>191133</v>
      </c>
      <c r="Q176" s="5">
        <f>0.052399*(1000000)</f>
        <v>52399</v>
      </c>
      <c r="R176" s="5">
        <f>0.059948*(1000000)</f>
        <v>59948</v>
      </c>
      <c r="S176" s="5">
        <f>0.223529*(1000000)</f>
        <v>223529</v>
      </c>
      <c r="T176" s="8">
        <v>1332.2</v>
      </c>
      <c r="U176" s="8">
        <v>645.20000000000005</v>
      </c>
      <c r="V176" s="8">
        <v>2558.6</v>
      </c>
      <c r="W176" s="8">
        <v>420.5</v>
      </c>
      <c r="X176" s="8">
        <v>982.4</v>
      </c>
      <c r="Y176" s="8">
        <v>1385</v>
      </c>
    </row>
    <row r="177" spans="1:25" x14ac:dyDescent="0.25">
      <c r="A177" s="7">
        <v>41821</v>
      </c>
      <c r="B177" s="3">
        <f>(293.6*(1))*(1000)</f>
        <v>293600</v>
      </c>
      <c r="C177" s="3">
        <f>(332.9*(1))*(1000)</f>
        <v>332900</v>
      </c>
      <c r="D177" s="3">
        <f>(11603.3*(1))*(1000)</f>
        <v>11603300</v>
      </c>
      <c r="E177" s="3">
        <f>1665.6*(1000)</f>
        <v>1665600</v>
      </c>
      <c r="F177" s="3">
        <f>466*(1000)</f>
        <v>466000</v>
      </c>
      <c r="G177" s="3">
        <f>5792.6*(1000)</f>
        <v>5792600</v>
      </c>
      <c r="H177" s="3">
        <f>1981.1*(1000)</f>
        <v>1981100</v>
      </c>
      <c r="I177" s="3">
        <f>457.5*(1000)</f>
        <v>457500</v>
      </c>
      <c r="J177" s="3">
        <f>812.7*(1000)</f>
        <v>812700</v>
      </c>
      <c r="K177" s="3">
        <f>2448.1*(1000)</f>
        <v>2448100</v>
      </c>
      <c r="L177" s="5">
        <f>1.385956*(1000000)</f>
        <v>1385956</v>
      </c>
      <c r="M177" s="5">
        <f>1.106643*(1000000)</f>
        <v>1106643</v>
      </c>
      <c r="N177" s="5">
        <v>469246</v>
      </c>
      <c r="O177" s="5">
        <f>0.201057*(1000000)</f>
        <v>201057</v>
      </c>
      <c r="P177" s="5">
        <f>0.207769*(1000000)</f>
        <v>207769</v>
      </c>
      <c r="Q177" s="5">
        <f>0.052686*(1000000)</f>
        <v>52686</v>
      </c>
      <c r="R177" s="5">
        <f>0.061022*(1000000)</f>
        <v>61022</v>
      </c>
      <c r="S177" s="5">
        <f>0.228652*(1000000)</f>
        <v>228652</v>
      </c>
      <c r="T177" s="8">
        <v>1337.9</v>
      </c>
      <c r="U177" s="8">
        <v>647.6</v>
      </c>
      <c r="V177" s="8">
        <v>2575</v>
      </c>
      <c r="W177" s="8">
        <v>421.7</v>
      </c>
      <c r="X177" s="8">
        <v>982.1</v>
      </c>
      <c r="Y177" s="8">
        <v>1386.7</v>
      </c>
    </row>
    <row r="178" spans="1:25" x14ac:dyDescent="0.25">
      <c r="A178" s="7">
        <v>41852</v>
      </c>
      <c r="B178" s="3">
        <f>(294.2*(1))*(1000)</f>
        <v>294200</v>
      </c>
      <c r="C178" s="3">
        <f>(333.1*(1))*(1000)</f>
        <v>333100</v>
      </c>
      <c r="D178" s="3">
        <f>(11635.8*(1))*(1000)</f>
        <v>11635800</v>
      </c>
      <c r="E178" s="3">
        <f>1667.2*(1000)</f>
        <v>1667200</v>
      </c>
      <c r="F178" s="3">
        <f>467.1*(1000)</f>
        <v>467100</v>
      </c>
      <c r="G178" s="3">
        <f>5792.2*(1000)</f>
        <v>5792200</v>
      </c>
      <c r="H178" s="3">
        <f>1983.2*(1000)</f>
        <v>1983200</v>
      </c>
      <c r="I178" s="3">
        <f>457.6*(1000)</f>
        <v>457600</v>
      </c>
      <c r="J178" s="3">
        <f>817.6*(1000)</f>
        <v>817600</v>
      </c>
      <c r="K178" s="3">
        <f>2449.9*(1000)</f>
        <v>2449900</v>
      </c>
      <c r="L178" s="5">
        <f>1.407169*(1000000)</f>
        <v>1407169</v>
      </c>
      <c r="M178" s="5">
        <f>1.123678*(1000000)</f>
        <v>1123678</v>
      </c>
      <c r="N178" s="5">
        <v>490143</v>
      </c>
      <c r="O178" s="5">
        <f>0.203413*(1000000)</f>
        <v>203413</v>
      </c>
      <c r="P178" s="5">
        <f>0.213105*(1000000)</f>
        <v>213105</v>
      </c>
      <c r="Q178" s="5">
        <f>0.052991*(1000000)</f>
        <v>52991</v>
      </c>
      <c r="R178" s="5">
        <f>0.059427*(1000000)</f>
        <v>59427</v>
      </c>
      <c r="S178" s="5">
        <f>0.234609*(1000000)</f>
        <v>234609</v>
      </c>
      <c r="T178" s="8">
        <v>1337.3</v>
      </c>
      <c r="U178" s="8">
        <v>642.79999999999995</v>
      </c>
      <c r="V178" s="8">
        <v>2570.9</v>
      </c>
      <c r="W178" s="8">
        <v>420.5</v>
      </c>
      <c r="X178" s="8">
        <v>987.6</v>
      </c>
      <c r="Y178" s="8">
        <v>1387</v>
      </c>
    </row>
    <row r="179" spans="1:25" x14ac:dyDescent="0.25">
      <c r="A179" s="7">
        <v>41883</v>
      </c>
      <c r="B179" s="3">
        <f>(294*(1))*(1000)</f>
        <v>294000</v>
      </c>
      <c r="C179" s="3">
        <f>(335.1*(1))*(1000)</f>
        <v>335100</v>
      </c>
      <c r="D179" s="3">
        <f>(11673.2*(1))*(1000)</f>
        <v>11673200</v>
      </c>
      <c r="E179" s="3">
        <f>1670.1*(1000)</f>
        <v>1670100</v>
      </c>
      <c r="F179" s="3">
        <f>470.6*(1000)</f>
        <v>470600</v>
      </c>
      <c r="G179" s="3">
        <f>5789.7*(1000)</f>
        <v>5789700</v>
      </c>
      <c r="H179" s="3">
        <f>1987.7*(1000)</f>
        <v>1987700</v>
      </c>
      <c r="I179" s="3">
        <f>457.9*(1000)</f>
        <v>457900</v>
      </c>
      <c r="J179" s="3">
        <f>817.1*(1000)</f>
        <v>817100</v>
      </c>
      <c r="K179" s="3">
        <f>2461.4*(1000)</f>
        <v>2461400</v>
      </c>
      <c r="L179" s="5">
        <f>1.399237*(1000000)</f>
        <v>1399237</v>
      </c>
      <c r="M179" s="5">
        <f>1.177095*(1000000)</f>
        <v>1177095</v>
      </c>
      <c r="N179" s="5">
        <v>502101</v>
      </c>
      <c r="O179" s="5">
        <f>0.188705*(1000000)</f>
        <v>188705</v>
      </c>
      <c r="P179" s="5">
        <f>0.213677*(1000000)</f>
        <v>213677</v>
      </c>
      <c r="Q179" s="5">
        <f>0.053319*(1000000)</f>
        <v>53319</v>
      </c>
      <c r="R179" s="5">
        <f>0.059924*(1000000)</f>
        <v>59924</v>
      </c>
      <c r="S179" s="5">
        <f>0.241018*(1000000)</f>
        <v>241018</v>
      </c>
      <c r="T179" s="8">
        <v>1339.5</v>
      </c>
      <c r="U179" s="8">
        <v>644.20000000000005</v>
      </c>
      <c r="V179" s="8">
        <v>2577.8000000000002</v>
      </c>
      <c r="W179" s="8">
        <v>421.2</v>
      </c>
      <c r="X179" s="8">
        <v>989.2</v>
      </c>
      <c r="Y179" s="8">
        <v>1388.1</v>
      </c>
    </row>
    <row r="180" spans="1:25" x14ac:dyDescent="0.25">
      <c r="A180" s="7">
        <v>41913</v>
      </c>
      <c r="B180" s="3">
        <f>(296.5*(1))*(1000)</f>
        <v>296500</v>
      </c>
      <c r="C180" s="3">
        <f>(335.8*(1))*(1000)</f>
        <v>335800</v>
      </c>
      <c r="D180" s="3">
        <f>(11707.4*(1))*(1000)</f>
        <v>11707400</v>
      </c>
      <c r="E180" s="3">
        <f>1673.6*(1000)</f>
        <v>1673600</v>
      </c>
      <c r="F180" s="3">
        <f>471.2*(1000)</f>
        <v>471200</v>
      </c>
      <c r="G180" s="3">
        <f>5798.1*(1000)</f>
        <v>5798100</v>
      </c>
      <c r="H180" s="3">
        <f>1987.8*(1000)</f>
        <v>1987800</v>
      </c>
      <c r="I180" s="3">
        <f>455.1*(1000)</f>
        <v>455100</v>
      </c>
      <c r="J180" s="3">
        <f>821.8*(1000)</f>
        <v>821800</v>
      </c>
      <c r="K180" s="3">
        <f>2459.8*(1000)</f>
        <v>2459800</v>
      </c>
      <c r="L180" s="5">
        <f>1.460737*(1000000)</f>
        <v>1460737</v>
      </c>
      <c r="M180" s="5">
        <f>1.179461*(1000000)</f>
        <v>1179461</v>
      </c>
      <c r="N180" s="5">
        <v>517401</v>
      </c>
      <c r="O180" s="5">
        <f>0.21829*(1000000)</f>
        <v>218290</v>
      </c>
      <c r="P180" s="5">
        <f>0.223249*(1000000)</f>
        <v>223249</v>
      </c>
      <c r="Q180" s="5">
        <f>0.053631*(1000000)</f>
        <v>53631</v>
      </c>
      <c r="R180" s="5">
        <f>0.060409*(1000000)</f>
        <v>60409</v>
      </c>
      <c r="S180" s="5">
        <f>0.247668*(1000000)</f>
        <v>247668</v>
      </c>
      <c r="T180" s="8">
        <v>1349.3</v>
      </c>
      <c r="U180" s="8">
        <v>650</v>
      </c>
      <c r="V180" s="8">
        <v>2591.6999999999998</v>
      </c>
      <c r="W180" s="8">
        <v>422.5</v>
      </c>
      <c r="X180" s="8">
        <v>991.9</v>
      </c>
      <c r="Y180" s="8">
        <v>1396.5</v>
      </c>
    </row>
    <row r="181" spans="1:25" x14ac:dyDescent="0.25">
      <c r="A181" s="7">
        <v>41944</v>
      </c>
      <c r="B181" s="3">
        <f>(295.6*(1))*(1000)</f>
        <v>295600</v>
      </c>
      <c r="C181" s="3">
        <f>(338.4*(1))*(1000)</f>
        <v>338400</v>
      </c>
      <c r="D181" s="3">
        <f>(11737.6*(1))*(1000)</f>
        <v>11737600</v>
      </c>
      <c r="E181" s="3">
        <f>1676.2*(1000)</f>
        <v>1676200</v>
      </c>
      <c r="F181" s="3">
        <f>473.8*(1000)</f>
        <v>473800</v>
      </c>
      <c r="G181" s="3">
        <f>5804*(1000)</f>
        <v>5804000</v>
      </c>
      <c r="H181" s="3">
        <f>1986*(1000)</f>
        <v>1986000</v>
      </c>
      <c r="I181" s="3">
        <f>454.7*(1000)</f>
        <v>454700</v>
      </c>
      <c r="J181" s="3">
        <f>825.9*(1000)</f>
        <v>825900</v>
      </c>
      <c r="K181" s="3">
        <f>2462.5*(1000)</f>
        <v>2462500</v>
      </c>
      <c r="L181" s="5">
        <f>1.489193*(1000000)</f>
        <v>1489193</v>
      </c>
      <c r="M181" s="5">
        <f>1.18011*(1000000)</f>
        <v>1180110</v>
      </c>
      <c r="N181" s="5">
        <v>515463</v>
      </c>
      <c r="O181" s="5">
        <f>0.227264*(1000000)</f>
        <v>227264</v>
      </c>
      <c r="P181" s="5">
        <f>0.233189*(1000000)</f>
        <v>233189</v>
      </c>
      <c r="Q181" s="5">
        <f>0.053941*(1000000)</f>
        <v>53941</v>
      </c>
      <c r="R181" s="5">
        <f>0.060897*(1000000)</f>
        <v>60897</v>
      </c>
      <c r="S181" s="5">
        <f>0.255204*(1000000)</f>
        <v>255204</v>
      </c>
      <c r="T181" s="8">
        <v>1348.6</v>
      </c>
      <c r="U181" s="8">
        <v>650.5</v>
      </c>
      <c r="V181" s="8">
        <v>2599.4</v>
      </c>
      <c r="W181" s="8">
        <v>419.9</v>
      </c>
      <c r="X181" s="8">
        <v>990</v>
      </c>
      <c r="Y181" s="8">
        <v>1393.8</v>
      </c>
    </row>
    <row r="182" spans="1:25" x14ac:dyDescent="0.25">
      <c r="A182" s="7">
        <v>41974</v>
      </c>
      <c r="B182" s="3">
        <f>(297.1*(1))*(1000)</f>
        <v>297100</v>
      </c>
      <c r="C182" s="3">
        <f>(340.9*(1))*(1000)</f>
        <v>340900</v>
      </c>
      <c r="D182" s="3">
        <f>(11783.3*(1))*(1000)</f>
        <v>11783300</v>
      </c>
      <c r="E182" s="3">
        <f>1681.9*(1000)</f>
        <v>1681900</v>
      </c>
      <c r="F182" s="3">
        <f>476.2*(1000)</f>
        <v>476200</v>
      </c>
      <c r="G182" s="3">
        <f>5812.3*(1000)</f>
        <v>5812300</v>
      </c>
      <c r="H182" s="3">
        <f>1992.2*(1000)</f>
        <v>1992200</v>
      </c>
      <c r="I182" s="3">
        <f>457.8*(1000)</f>
        <v>457800</v>
      </c>
      <c r="J182" s="3">
        <f>824.3*(1000)</f>
        <v>824300</v>
      </c>
      <c r="K182" s="3">
        <f>2467.2*(1000)</f>
        <v>2467200</v>
      </c>
      <c r="L182" s="5">
        <f>1.524482*(1000000)</f>
        <v>1524482</v>
      </c>
      <c r="M182" s="5">
        <f>1.21919*(1000000)</f>
        <v>1219190</v>
      </c>
      <c r="N182" s="5">
        <v>519580.00000000006</v>
      </c>
      <c r="O182" s="5">
        <f>0.236525*(1000000)</f>
        <v>236525</v>
      </c>
      <c r="P182" s="5">
        <f>0.243458*(1000000)</f>
        <v>243458</v>
      </c>
      <c r="Q182" s="5">
        <f>0.054237*(1000000)</f>
        <v>54237</v>
      </c>
      <c r="R182" s="5">
        <f>0.061376*(1000000)</f>
        <v>61376</v>
      </c>
      <c r="S182" s="5">
        <f>0.263787*(1000000)</f>
        <v>263787</v>
      </c>
      <c r="T182" s="8">
        <v>1353.9</v>
      </c>
      <c r="U182" s="8">
        <v>647.79999999999995</v>
      </c>
      <c r="V182" s="8">
        <v>2605.4</v>
      </c>
      <c r="W182" s="8">
        <v>421.5</v>
      </c>
      <c r="X182" s="8">
        <v>990.6</v>
      </c>
      <c r="Y182" s="8">
        <v>1395.5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Panel</vt:lpstr>
      <vt:lpstr>Time Series</vt:lpstr>
    </vt:vector>
  </TitlesOfParts>
  <Company>University of Surrey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Lyon M Mr (UG - Economics)</dc:creator>
  <cp:lastModifiedBy>Lyon M Mr (UG - Economics)</cp:lastModifiedBy>
  <dcterms:created xsi:type="dcterms:W3CDTF">2015-03-17T18:30:18Z</dcterms:created>
  <dcterms:modified xsi:type="dcterms:W3CDTF">2015-03-19T15:12:10Z</dcterms:modified>
</cp:coreProperties>
</file>