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995" windowHeight="7920" firstSheet="7" activeTab="19"/>
  </bookViews>
  <sheets>
    <sheet name="Excel" sheetId="1" r:id="rId1"/>
    <sheet name="DataBase" sheetId="2" r:id="rId2"/>
    <sheet name="Ex1" sheetId="3" r:id="rId3"/>
    <sheet name="Ex1a" sheetId="4" r:id="rId4"/>
    <sheet name="Ex2" sheetId="5" r:id="rId5"/>
    <sheet name="Ex4" sheetId="6" r:id="rId6"/>
    <sheet name="Ex5" sheetId="7" r:id="rId7"/>
    <sheet name="Ex5a" sheetId="8" r:id="rId8"/>
    <sheet name="Ex5b" sheetId="9" r:id="rId9"/>
    <sheet name="Ex5c" sheetId="10" r:id="rId10"/>
    <sheet name="Ex6" sheetId="11" r:id="rId11"/>
    <sheet name="Ex7" sheetId="12" r:id="rId12"/>
    <sheet name="Ex7a" sheetId="13" r:id="rId13"/>
    <sheet name="Ex7b" sheetId="14" r:id="rId14"/>
    <sheet name="Ex7c" sheetId="15" r:id="rId15"/>
    <sheet name="Ex8" sheetId="16" r:id="rId16"/>
    <sheet name="Ex8a" sheetId="17" r:id="rId17"/>
    <sheet name="Ex8b" sheetId="18" r:id="rId18"/>
    <sheet name="Ex8c" sheetId="19" r:id="rId19"/>
    <sheet name="Newey-West" sheetId="20" r:id="rId20"/>
    <sheet name="Sheet1" sheetId="21" r:id="rId21"/>
  </sheets>
  <definedNames>
    <definedName name="_xlnm.Print_Area" localSheetId="1">DataBase!$J$2:$P$94</definedName>
    <definedName name="_xlnm.Print_Area" localSheetId="2">'Ex1'!$F$4:$X$45</definedName>
    <definedName name="_xlnm.Print_Area" localSheetId="3">Ex1a!$B$4:$Q$71</definedName>
    <definedName name="_xlnm.Print_Area" localSheetId="4">'Ex2'!$S$2:$AC$74</definedName>
    <definedName name="_xlnm.Print_Area" localSheetId="5">'Ex4'!$I$4:$T$90</definedName>
    <definedName name="_xlnm.Print_Area" localSheetId="6">'Ex5'!$F$1:$Q$48</definedName>
    <definedName name="_xlnm.Print_Area" localSheetId="7">Ex5a!$G$2:$R$70</definedName>
    <definedName name="_xlnm.Print_Area" localSheetId="8">Ex5b!$E$2:$T$55</definedName>
    <definedName name="_xlnm.Print_Area" localSheetId="9">Ex5c!$AX$3:$BE$21</definedName>
    <definedName name="_xlnm.Print_Area" localSheetId="10">'Ex6'!$B$2:$O$87</definedName>
    <definedName name="_xlnm.Print_Area" localSheetId="11">'Ex7'!$AR$36:$BD$68</definedName>
    <definedName name="_xlnm.Print_Area" localSheetId="12">Ex7a!$O$7:$T$61</definedName>
    <definedName name="_xlnm.Print_Area" localSheetId="13">Ex7b!$AA$4:$AO$46</definedName>
    <definedName name="_xlnm.Print_Area" localSheetId="14">Ex7c!$AB$3:$AS$40</definedName>
    <definedName name="_xlnm.Print_Area" localSheetId="15">'Ex8'!$X$4:$AM$47</definedName>
    <definedName name="_xlnm.Print_Area" localSheetId="16">Ex8a!$B$3:$P$47</definedName>
    <definedName name="_xlnm.Print_Area" localSheetId="17">Ex8b!$E$1:$T$54</definedName>
    <definedName name="_xlnm.Print_Area" localSheetId="18">Ex8c!$B$3:$T$54</definedName>
    <definedName name="_xlnm.Print_Area" localSheetId="0">Excel!$B$2:$L$45</definedName>
    <definedName name="_xlnm.Print_Area" localSheetId="19">'Newey-West'!$B$96:$M$100</definedName>
  </definedNames>
  <calcPr calcId="125725"/>
</workbook>
</file>

<file path=xl/calcChain.xml><?xml version="1.0" encoding="utf-8"?>
<calcChain xmlns="http://schemas.openxmlformats.org/spreadsheetml/2006/main">
  <c r="E55" i="21" a="1"/>
  <c r="E55" s="1"/>
  <c r="F55"/>
  <c r="F56"/>
  <c r="H55" a="1"/>
  <c r="B55" a="1"/>
  <c r="B55" s="1"/>
  <c r="C55"/>
  <c r="C56"/>
  <c r="D25"/>
  <c r="D24"/>
  <c r="D23"/>
  <c r="B25"/>
  <c r="B24"/>
  <c r="F4"/>
  <c r="H9"/>
  <c r="I10"/>
  <c r="H10"/>
  <c r="I65"/>
  <c r="C23"/>
  <c r="D10"/>
  <c r="B10"/>
  <c r="D9"/>
  <c r="B9"/>
  <c r="D8"/>
  <c r="B8"/>
  <c r="T15" s="1"/>
  <c r="K48" i="20"/>
  <c r="H48"/>
  <c r="H47"/>
  <c r="E48"/>
  <c r="E47"/>
  <c r="E46"/>
  <c r="B48"/>
  <c r="B47"/>
  <c r="B46"/>
  <c r="B45"/>
  <c r="E40"/>
  <c r="E39"/>
  <c r="D39"/>
  <c r="E38"/>
  <c r="D38"/>
  <c r="C38"/>
  <c r="L38" s="1"/>
  <c r="G61" s="1"/>
  <c r="E33"/>
  <c r="I48" s="1"/>
  <c r="C33"/>
  <c r="E32"/>
  <c r="I47" s="1"/>
  <c r="E31"/>
  <c r="F46" s="1"/>
  <c r="E30"/>
  <c r="L8" s="1" a="1"/>
  <c r="C32"/>
  <c r="C31"/>
  <c r="C30"/>
  <c r="G46" i="17"/>
  <c r="Y46" s="1"/>
  <c r="F46"/>
  <c r="X46" s="1"/>
  <c r="G45"/>
  <c r="Y45" s="1"/>
  <c r="F45"/>
  <c r="X45" s="1"/>
  <c r="G44"/>
  <c r="Y44" s="1"/>
  <c r="F44"/>
  <c r="X44" s="1"/>
  <c r="G43"/>
  <c r="Y43" s="1"/>
  <c r="F43"/>
  <c r="X43" s="1"/>
  <c r="G42"/>
  <c r="Y42" s="1"/>
  <c r="F42"/>
  <c r="X42" s="1"/>
  <c r="G41"/>
  <c r="Y41" s="1"/>
  <c r="F41"/>
  <c r="X41" s="1"/>
  <c r="G40"/>
  <c r="Y40" s="1"/>
  <c r="F40"/>
  <c r="X40" s="1"/>
  <c r="G39"/>
  <c r="Y39" s="1"/>
  <c r="F39"/>
  <c r="X39" s="1"/>
  <c r="G38"/>
  <c r="Y38" s="1"/>
  <c r="F38"/>
  <c r="X38" s="1"/>
  <c r="G37"/>
  <c r="Y37" s="1"/>
  <c r="F37"/>
  <c r="X37" s="1"/>
  <c r="G36"/>
  <c r="Y36" s="1"/>
  <c r="F36"/>
  <c r="X36" s="1"/>
  <c r="G35"/>
  <c r="Y35" s="1"/>
  <c r="F35"/>
  <c r="X35" s="1"/>
  <c r="G34"/>
  <c r="Y34" s="1"/>
  <c r="F34"/>
  <c r="X34" s="1"/>
  <c r="G33"/>
  <c r="Y33" s="1"/>
  <c r="F33"/>
  <c r="X33" s="1"/>
  <c r="G32"/>
  <c r="Y32" s="1"/>
  <c r="F32"/>
  <c r="X32" s="1"/>
  <c r="G31"/>
  <c r="Y31" s="1"/>
  <c r="F31"/>
  <c r="X31" s="1"/>
  <c r="G30"/>
  <c r="Y30" s="1"/>
  <c r="F30"/>
  <c r="X30" s="1"/>
  <c r="G29"/>
  <c r="Y29" s="1"/>
  <c r="F29"/>
  <c r="X29" s="1"/>
  <c r="G28"/>
  <c r="Y28" s="1"/>
  <c r="F28"/>
  <c r="X28" s="1"/>
  <c r="G27"/>
  <c r="Y27" s="1"/>
  <c r="F27"/>
  <c r="X27" s="1"/>
  <c r="G26"/>
  <c r="Y26" s="1"/>
  <c r="F26"/>
  <c r="X26" s="1"/>
  <c r="G25"/>
  <c r="Y25" s="1"/>
  <c r="F25"/>
  <c r="X25" s="1"/>
  <c r="G24"/>
  <c r="Y24" s="1"/>
  <c r="F24"/>
  <c r="X24" s="1"/>
  <c r="G23"/>
  <c r="Y23" s="1"/>
  <c r="F23"/>
  <c r="X23" s="1"/>
  <c r="G22"/>
  <c r="Y22" s="1"/>
  <c r="F22"/>
  <c r="X22" s="1"/>
  <c r="G21"/>
  <c r="Y21" s="1"/>
  <c r="F21"/>
  <c r="X21" s="1"/>
  <c r="G20"/>
  <c r="Y20" s="1"/>
  <c r="F20"/>
  <c r="X20" s="1"/>
  <c r="G19"/>
  <c r="Y19" s="1"/>
  <c r="F19"/>
  <c r="X19" s="1"/>
  <c r="G18"/>
  <c r="Y18" s="1"/>
  <c r="F18"/>
  <c r="X18" s="1"/>
  <c r="G17"/>
  <c r="Y17" s="1"/>
  <c r="F17"/>
  <c r="X17" s="1"/>
  <c r="G16"/>
  <c r="Y16" s="1"/>
  <c r="F16"/>
  <c r="X16" s="1"/>
  <c r="G15"/>
  <c r="Y15" s="1"/>
  <c r="F15"/>
  <c r="X15" s="1"/>
  <c r="G14"/>
  <c r="Y14" s="1"/>
  <c r="F14"/>
  <c r="X14" s="1"/>
  <c r="G13"/>
  <c r="Y13" s="1"/>
  <c r="F13"/>
  <c r="X13" s="1"/>
  <c r="G12"/>
  <c r="Y12" s="1"/>
  <c r="F12"/>
  <c r="X12" s="1"/>
  <c r="G11"/>
  <c r="Y11" s="1"/>
  <c r="F11"/>
  <c r="X11" s="1"/>
  <c r="G10"/>
  <c r="Y10" s="1"/>
  <c r="F10"/>
  <c r="X10" s="1"/>
  <c r="F9"/>
  <c r="X9" s="1"/>
  <c r="G9"/>
  <c r="Y9" s="1"/>
  <c r="F8"/>
  <c r="B46"/>
  <c r="T46" s="1"/>
  <c r="B45"/>
  <c r="T45" s="1"/>
  <c r="B44"/>
  <c r="T44" s="1"/>
  <c r="B43"/>
  <c r="T43" s="1"/>
  <c r="B42"/>
  <c r="T42" s="1"/>
  <c r="B41"/>
  <c r="T41" s="1"/>
  <c r="B40"/>
  <c r="T40" s="1"/>
  <c r="B39"/>
  <c r="T39" s="1"/>
  <c r="B38"/>
  <c r="T38" s="1"/>
  <c r="B37"/>
  <c r="T37" s="1"/>
  <c r="B36"/>
  <c r="T36" s="1"/>
  <c r="B35"/>
  <c r="T35" s="1"/>
  <c r="B34"/>
  <c r="T34" s="1"/>
  <c r="B33"/>
  <c r="T33" s="1"/>
  <c r="B32"/>
  <c r="T32" s="1"/>
  <c r="B31"/>
  <c r="T31" s="1"/>
  <c r="B30"/>
  <c r="T30" s="1"/>
  <c r="B29"/>
  <c r="T29" s="1"/>
  <c r="B28"/>
  <c r="T28" s="1"/>
  <c r="B27"/>
  <c r="T27" s="1"/>
  <c r="B26"/>
  <c r="T26" s="1"/>
  <c r="B25"/>
  <c r="T25" s="1"/>
  <c r="B24"/>
  <c r="T24" s="1"/>
  <c r="B23"/>
  <c r="T23" s="1"/>
  <c r="B22"/>
  <c r="T22" s="1"/>
  <c r="B21"/>
  <c r="T21" s="1"/>
  <c r="B20"/>
  <c r="T20" s="1"/>
  <c r="B19"/>
  <c r="T19" s="1"/>
  <c r="B18"/>
  <c r="T18" s="1"/>
  <c r="B17"/>
  <c r="T17" s="1"/>
  <c r="B16"/>
  <c r="T16" s="1"/>
  <c r="B15"/>
  <c r="T15" s="1"/>
  <c r="B14"/>
  <c r="T14" s="1"/>
  <c r="B13"/>
  <c r="T13" s="1"/>
  <c r="B12"/>
  <c r="T12" s="1"/>
  <c r="B11"/>
  <c r="T11" s="1"/>
  <c r="B10"/>
  <c r="T10" s="1"/>
  <c r="B9"/>
  <c r="T9" s="1"/>
  <c r="B8"/>
  <c r="B7"/>
  <c r="E46"/>
  <c r="W46" s="1"/>
  <c r="D46"/>
  <c r="V46" s="1"/>
  <c r="E45"/>
  <c r="W45" s="1"/>
  <c r="D45"/>
  <c r="V45" s="1"/>
  <c r="E44"/>
  <c r="W44" s="1"/>
  <c r="D44"/>
  <c r="V44" s="1"/>
  <c r="U46"/>
  <c r="E43"/>
  <c r="W43" s="1"/>
  <c r="D43"/>
  <c r="V43" s="1"/>
  <c r="U45"/>
  <c r="E42"/>
  <c r="W42" s="1"/>
  <c r="D42"/>
  <c r="V42" s="1"/>
  <c r="U44"/>
  <c r="E41"/>
  <c r="W41" s="1"/>
  <c r="D41"/>
  <c r="V41" s="1"/>
  <c r="U43"/>
  <c r="E40"/>
  <c r="W40" s="1"/>
  <c r="D40"/>
  <c r="V40" s="1"/>
  <c r="U42"/>
  <c r="E39"/>
  <c r="W39" s="1"/>
  <c r="D39"/>
  <c r="V39" s="1"/>
  <c r="U41"/>
  <c r="E38"/>
  <c r="W38" s="1"/>
  <c r="D38"/>
  <c r="V38" s="1"/>
  <c r="U40"/>
  <c r="E37"/>
  <c r="W37" s="1"/>
  <c r="D37"/>
  <c r="V37" s="1"/>
  <c r="U39"/>
  <c r="E36"/>
  <c r="W36" s="1"/>
  <c r="D36"/>
  <c r="V36" s="1"/>
  <c r="U38"/>
  <c r="E35"/>
  <c r="W35" s="1"/>
  <c r="D35"/>
  <c r="V35" s="1"/>
  <c r="U37"/>
  <c r="E34"/>
  <c r="W34" s="1"/>
  <c r="D34"/>
  <c r="V34" s="1"/>
  <c r="U36"/>
  <c r="E33"/>
  <c r="W33" s="1"/>
  <c r="D33"/>
  <c r="V33" s="1"/>
  <c r="U35"/>
  <c r="E32"/>
  <c r="W32" s="1"/>
  <c r="D32"/>
  <c r="V32" s="1"/>
  <c r="U34"/>
  <c r="E31"/>
  <c r="W31" s="1"/>
  <c r="D31"/>
  <c r="V31" s="1"/>
  <c r="U33"/>
  <c r="E30"/>
  <c r="W30" s="1"/>
  <c r="D30"/>
  <c r="V30" s="1"/>
  <c r="U32"/>
  <c r="E29"/>
  <c r="W29" s="1"/>
  <c r="D29"/>
  <c r="V29" s="1"/>
  <c r="U31"/>
  <c r="E28"/>
  <c r="W28" s="1"/>
  <c r="D28"/>
  <c r="V28" s="1"/>
  <c r="U30"/>
  <c r="E27"/>
  <c r="W27" s="1"/>
  <c r="D27"/>
  <c r="V27" s="1"/>
  <c r="U29"/>
  <c r="E26"/>
  <c r="W26" s="1"/>
  <c r="D26"/>
  <c r="V26" s="1"/>
  <c r="U28"/>
  <c r="E25"/>
  <c r="W25" s="1"/>
  <c r="D25"/>
  <c r="V25" s="1"/>
  <c r="U27"/>
  <c r="E24"/>
  <c r="W24" s="1"/>
  <c r="D24"/>
  <c r="V24" s="1"/>
  <c r="U26"/>
  <c r="E23"/>
  <c r="W23" s="1"/>
  <c r="D23"/>
  <c r="V23" s="1"/>
  <c r="U25"/>
  <c r="E22"/>
  <c r="W22" s="1"/>
  <c r="D22"/>
  <c r="V22" s="1"/>
  <c r="U24"/>
  <c r="E21"/>
  <c r="W21" s="1"/>
  <c r="D21"/>
  <c r="V21" s="1"/>
  <c r="U23"/>
  <c r="E20"/>
  <c r="W20" s="1"/>
  <c r="D20"/>
  <c r="V20" s="1"/>
  <c r="U22"/>
  <c r="E19"/>
  <c r="W19" s="1"/>
  <c r="D19"/>
  <c r="V19" s="1"/>
  <c r="U21"/>
  <c r="E18"/>
  <c r="W18" s="1"/>
  <c r="D18"/>
  <c r="V18" s="1"/>
  <c r="U20"/>
  <c r="E17"/>
  <c r="W17" s="1"/>
  <c r="D17"/>
  <c r="V17" s="1"/>
  <c r="U19"/>
  <c r="E16"/>
  <c r="W16" s="1"/>
  <c r="D16"/>
  <c r="V16" s="1"/>
  <c r="U18"/>
  <c r="E15"/>
  <c r="W15" s="1"/>
  <c r="D15"/>
  <c r="V15" s="1"/>
  <c r="U17"/>
  <c r="E14"/>
  <c r="W14" s="1"/>
  <c r="D14"/>
  <c r="V14" s="1"/>
  <c r="U16"/>
  <c r="E13"/>
  <c r="W13" s="1"/>
  <c r="D13"/>
  <c r="V13" s="1"/>
  <c r="U15"/>
  <c r="E12"/>
  <c r="W12" s="1"/>
  <c r="D12"/>
  <c r="V12" s="1"/>
  <c r="U14"/>
  <c r="E11"/>
  <c r="W11" s="1"/>
  <c r="D11"/>
  <c r="V11" s="1"/>
  <c r="U13"/>
  <c r="E10"/>
  <c r="W10" s="1"/>
  <c r="D10"/>
  <c r="V10" s="1"/>
  <c r="U12"/>
  <c r="E9"/>
  <c r="W9" s="1"/>
  <c r="D9"/>
  <c r="V9" s="1"/>
  <c r="U11"/>
  <c r="E8"/>
  <c r="D8"/>
  <c r="U10"/>
  <c r="E7"/>
  <c r="D7"/>
  <c r="U9"/>
  <c r="AD9" s="1" a="1"/>
  <c r="I45" i="16"/>
  <c r="H45"/>
  <c r="F45"/>
  <c r="I44"/>
  <c r="H44"/>
  <c r="F44"/>
  <c r="I43"/>
  <c r="H43"/>
  <c r="F43"/>
  <c r="I42"/>
  <c r="H42"/>
  <c r="F42"/>
  <c r="I41"/>
  <c r="H41"/>
  <c r="F41"/>
  <c r="I40"/>
  <c r="H40"/>
  <c r="F40"/>
  <c r="I39"/>
  <c r="H39"/>
  <c r="F39"/>
  <c r="I38"/>
  <c r="H38"/>
  <c r="F38"/>
  <c r="I37"/>
  <c r="H37"/>
  <c r="F37"/>
  <c r="I36"/>
  <c r="H36"/>
  <c r="F36"/>
  <c r="I35"/>
  <c r="H35"/>
  <c r="F35"/>
  <c r="I34"/>
  <c r="H34"/>
  <c r="F34"/>
  <c r="I33"/>
  <c r="H33"/>
  <c r="F33"/>
  <c r="I32"/>
  <c r="H32"/>
  <c r="F32"/>
  <c r="I31"/>
  <c r="H31"/>
  <c r="F31"/>
  <c r="I30"/>
  <c r="H30"/>
  <c r="F30"/>
  <c r="I29"/>
  <c r="H29"/>
  <c r="F29"/>
  <c r="I28"/>
  <c r="H28"/>
  <c r="F28"/>
  <c r="I27"/>
  <c r="H27"/>
  <c r="F27"/>
  <c r="I26"/>
  <c r="H26"/>
  <c r="F26"/>
  <c r="I25"/>
  <c r="H25"/>
  <c r="F25"/>
  <c r="I24"/>
  <c r="H24"/>
  <c r="F24"/>
  <c r="I23"/>
  <c r="H23"/>
  <c r="F23"/>
  <c r="I22"/>
  <c r="H22"/>
  <c r="F22"/>
  <c r="I21"/>
  <c r="H21"/>
  <c r="F21"/>
  <c r="I20"/>
  <c r="H20"/>
  <c r="F20"/>
  <c r="I19"/>
  <c r="H19"/>
  <c r="F19"/>
  <c r="I18"/>
  <c r="H18"/>
  <c r="F18"/>
  <c r="I17"/>
  <c r="H17"/>
  <c r="F17"/>
  <c r="I16"/>
  <c r="H16"/>
  <c r="F16"/>
  <c r="I15"/>
  <c r="H15"/>
  <c r="F15"/>
  <c r="I14"/>
  <c r="H14"/>
  <c r="F14"/>
  <c r="I13"/>
  <c r="H13"/>
  <c r="F13"/>
  <c r="I12"/>
  <c r="H12"/>
  <c r="F12"/>
  <c r="I11"/>
  <c r="H11"/>
  <c r="F11"/>
  <c r="I10"/>
  <c r="H10"/>
  <c r="F10"/>
  <c r="I9"/>
  <c r="H9"/>
  <c r="F9"/>
  <c r="I8"/>
  <c r="H8"/>
  <c r="F8"/>
  <c r="I7"/>
  <c r="H7"/>
  <c r="F7"/>
  <c r="I6"/>
  <c r="H6"/>
  <c r="R13" s="1" a="1"/>
  <c r="F6"/>
  <c r="AM40" i="15" a="1"/>
  <c r="AM40" s="1"/>
  <c r="AO33" a="1"/>
  <c r="AO33" s="1"/>
  <c r="AP33"/>
  <c r="AR33"/>
  <c r="AO34"/>
  <c r="AQ34"/>
  <c r="AS34"/>
  <c r="AP35"/>
  <c r="AR35"/>
  <c r="AO36"/>
  <c r="AQ36"/>
  <c r="AS36"/>
  <c r="AP37"/>
  <c r="AR37"/>
  <c r="AO25" a="1"/>
  <c r="AO25" s="1"/>
  <c r="AJ13" a="1"/>
  <c r="AJ13" s="1"/>
  <c r="AK13"/>
  <c r="AM13"/>
  <c r="AO13"/>
  <c r="AQ13"/>
  <c r="AS13"/>
  <c r="AK14"/>
  <c r="AM14"/>
  <c r="AO14"/>
  <c r="AQ14"/>
  <c r="AS14"/>
  <c r="AK15"/>
  <c r="AM15"/>
  <c r="AO15"/>
  <c r="AQ15"/>
  <c r="AS15"/>
  <c r="AK16"/>
  <c r="AM16"/>
  <c r="AO16"/>
  <c r="AQ16"/>
  <c r="AS16"/>
  <c r="AK17"/>
  <c r="AM17"/>
  <c r="AO17"/>
  <c r="AQ17"/>
  <c r="AS17"/>
  <c r="AK18"/>
  <c r="AM18"/>
  <c r="AO18"/>
  <c r="AQ18"/>
  <c r="AS18"/>
  <c r="AK19"/>
  <c r="AM19"/>
  <c r="AO19"/>
  <c r="AQ19"/>
  <c r="AS19"/>
  <c r="AK20"/>
  <c r="AM20"/>
  <c r="AO20"/>
  <c r="AQ20"/>
  <c r="AS20"/>
  <c r="AK21"/>
  <c r="AM21"/>
  <c r="AO21"/>
  <c r="AQ21"/>
  <c r="AS21"/>
  <c r="AK22"/>
  <c r="AM22"/>
  <c r="AO22"/>
  <c r="AQ22"/>
  <c r="AS22"/>
  <c r="W32"/>
  <c r="AL25" a="1"/>
  <c r="AL25" s="1"/>
  <c r="AL26"/>
  <c r="AL28"/>
  <c r="AL30"/>
  <c r="AL32"/>
  <c r="AL34"/>
  <c r="W34"/>
  <c r="O23" i="12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O21"/>
  <c r="N93" i="15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94" s="1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W31"/>
  <c r="T30" a="1"/>
  <c r="T30" s="1"/>
  <c r="T31"/>
  <c r="T33"/>
  <c r="T35"/>
  <c r="T37"/>
  <c r="T39"/>
  <c r="Q30" a="1"/>
  <c r="Q30" s="1"/>
  <c r="Q18" a="1"/>
  <c r="Q18" s="1"/>
  <c r="Q6" a="1"/>
  <c r="Q6" s="1"/>
  <c r="L93"/>
  <c r="K93"/>
  <c r="J93"/>
  <c r="I93"/>
  <c r="L92"/>
  <c r="K92"/>
  <c r="J92"/>
  <c r="I92"/>
  <c r="L91"/>
  <c r="K91"/>
  <c r="J91"/>
  <c r="I91"/>
  <c r="L90"/>
  <c r="K90"/>
  <c r="J90"/>
  <c r="I90"/>
  <c r="L89"/>
  <c r="K89"/>
  <c r="J89"/>
  <c r="I89"/>
  <c r="L88"/>
  <c r="K88"/>
  <c r="J88"/>
  <c r="I88"/>
  <c r="L87"/>
  <c r="K87"/>
  <c r="J87"/>
  <c r="I87"/>
  <c r="L86"/>
  <c r="K86"/>
  <c r="J86"/>
  <c r="I86"/>
  <c r="L85"/>
  <c r="K85"/>
  <c r="J85"/>
  <c r="I85"/>
  <c r="L84"/>
  <c r="K84"/>
  <c r="J84"/>
  <c r="I84"/>
  <c r="L83"/>
  <c r="K83"/>
  <c r="J83"/>
  <c r="I83"/>
  <c r="L82"/>
  <c r="K82"/>
  <c r="J82"/>
  <c r="I82"/>
  <c r="L81"/>
  <c r="K81"/>
  <c r="J81"/>
  <c r="I81"/>
  <c r="L80"/>
  <c r="K80"/>
  <c r="J80"/>
  <c r="I80"/>
  <c r="L79"/>
  <c r="K79"/>
  <c r="J79"/>
  <c r="I79"/>
  <c r="L78"/>
  <c r="K78"/>
  <c r="J78"/>
  <c r="I78"/>
  <c r="L77"/>
  <c r="K77"/>
  <c r="J77"/>
  <c r="I77"/>
  <c r="L76"/>
  <c r="K76"/>
  <c r="J76"/>
  <c r="I76"/>
  <c r="L75"/>
  <c r="K75"/>
  <c r="J75"/>
  <c r="I75"/>
  <c r="L74"/>
  <c r="K74"/>
  <c r="J74"/>
  <c r="I74"/>
  <c r="L73"/>
  <c r="K73"/>
  <c r="J73"/>
  <c r="I73"/>
  <c r="L72"/>
  <c r="K72"/>
  <c r="J72"/>
  <c r="I72"/>
  <c r="L71"/>
  <c r="K71"/>
  <c r="J71"/>
  <c r="I71"/>
  <c r="L70"/>
  <c r="K70"/>
  <c r="J70"/>
  <c r="I70"/>
  <c r="L69"/>
  <c r="K69"/>
  <c r="J69"/>
  <c r="I69"/>
  <c r="L68"/>
  <c r="K68"/>
  <c r="J68"/>
  <c r="I68"/>
  <c r="L67"/>
  <c r="K67"/>
  <c r="J67"/>
  <c r="I67"/>
  <c r="L66"/>
  <c r="K66"/>
  <c r="J66"/>
  <c r="I66"/>
  <c r="L65"/>
  <c r="K65"/>
  <c r="J65"/>
  <c r="I65"/>
  <c r="L64"/>
  <c r="K64"/>
  <c r="J64"/>
  <c r="I64"/>
  <c r="L63"/>
  <c r="K63"/>
  <c r="J63"/>
  <c r="I63"/>
  <c r="L62"/>
  <c r="K62"/>
  <c r="J62"/>
  <c r="I62"/>
  <c r="L61"/>
  <c r="K61"/>
  <c r="J61"/>
  <c r="I61"/>
  <c r="L60"/>
  <c r="K60"/>
  <c r="J60"/>
  <c r="I60"/>
  <c r="L59"/>
  <c r="K59"/>
  <c r="J59"/>
  <c r="I59"/>
  <c r="L58"/>
  <c r="K58"/>
  <c r="J58"/>
  <c r="I58"/>
  <c r="L57"/>
  <c r="K57"/>
  <c r="J57"/>
  <c r="I57"/>
  <c r="L56"/>
  <c r="K56"/>
  <c r="J56"/>
  <c r="I56"/>
  <c r="L55"/>
  <c r="K55"/>
  <c r="J55"/>
  <c r="I55"/>
  <c r="L54"/>
  <c r="K54"/>
  <c r="J54"/>
  <c r="I54"/>
  <c r="L53"/>
  <c r="K53"/>
  <c r="J53"/>
  <c r="I53"/>
  <c r="L52"/>
  <c r="K52"/>
  <c r="J52"/>
  <c r="I52"/>
  <c r="L51"/>
  <c r="K51"/>
  <c r="J51"/>
  <c r="I51"/>
  <c r="L50"/>
  <c r="K50"/>
  <c r="J50"/>
  <c r="I50"/>
  <c r="L49"/>
  <c r="K49"/>
  <c r="J49"/>
  <c r="I49"/>
  <c r="L48"/>
  <c r="K48"/>
  <c r="J48"/>
  <c r="I48"/>
  <c r="L47"/>
  <c r="K47"/>
  <c r="J47"/>
  <c r="I47"/>
  <c r="L46"/>
  <c r="K46"/>
  <c r="J46"/>
  <c r="I46"/>
  <c r="L45"/>
  <c r="K45"/>
  <c r="J45"/>
  <c r="I45"/>
  <c r="L44"/>
  <c r="K44"/>
  <c r="J44"/>
  <c r="I44"/>
  <c r="L43"/>
  <c r="K43"/>
  <c r="J43"/>
  <c r="I43"/>
  <c r="L42"/>
  <c r="K42"/>
  <c r="J42"/>
  <c r="I42"/>
  <c r="L41"/>
  <c r="K41"/>
  <c r="J41"/>
  <c r="I41"/>
  <c r="L40"/>
  <c r="K40"/>
  <c r="J40"/>
  <c r="I40"/>
  <c r="L39"/>
  <c r="K39"/>
  <c r="J39"/>
  <c r="I39"/>
  <c r="L38"/>
  <c r="K38"/>
  <c r="J38"/>
  <c r="I38"/>
  <c r="L37"/>
  <c r="K37"/>
  <c r="J37"/>
  <c r="I37"/>
  <c r="L36"/>
  <c r="K36"/>
  <c r="J36"/>
  <c r="I36"/>
  <c r="L35"/>
  <c r="K35"/>
  <c r="J35"/>
  <c r="I35"/>
  <c r="L34"/>
  <c r="K34"/>
  <c r="J34"/>
  <c r="I34"/>
  <c r="L33"/>
  <c r="K33"/>
  <c r="J33"/>
  <c r="I33"/>
  <c r="L32"/>
  <c r="K32"/>
  <c r="J32"/>
  <c r="I32"/>
  <c r="L31"/>
  <c r="K31"/>
  <c r="J31"/>
  <c r="I31"/>
  <c r="L30"/>
  <c r="K30"/>
  <c r="J30"/>
  <c r="I30"/>
  <c r="L29"/>
  <c r="K29"/>
  <c r="J29"/>
  <c r="I29"/>
  <c r="L28"/>
  <c r="K28"/>
  <c r="J28"/>
  <c r="I28"/>
  <c r="L27"/>
  <c r="K27"/>
  <c r="J27"/>
  <c r="I27"/>
  <c r="L26"/>
  <c r="K26"/>
  <c r="J26"/>
  <c r="I26"/>
  <c r="L25"/>
  <c r="K25"/>
  <c r="J25"/>
  <c r="I25"/>
  <c r="L24"/>
  <c r="K24"/>
  <c r="J24"/>
  <c r="I24"/>
  <c r="L23"/>
  <c r="K23"/>
  <c r="J23"/>
  <c r="I23"/>
  <c r="L22"/>
  <c r="K22"/>
  <c r="J22"/>
  <c r="I22"/>
  <c r="L21"/>
  <c r="K21"/>
  <c r="J21"/>
  <c r="I21"/>
  <c r="L20"/>
  <c r="K20"/>
  <c r="J20"/>
  <c r="I20"/>
  <c r="L19"/>
  <c r="K19"/>
  <c r="J19"/>
  <c r="I19"/>
  <c r="L18"/>
  <c r="K18"/>
  <c r="J18"/>
  <c r="I18"/>
  <c r="L17"/>
  <c r="K17"/>
  <c r="J17"/>
  <c r="I17"/>
  <c r="L16"/>
  <c r="K16"/>
  <c r="J16"/>
  <c r="I16"/>
  <c r="L15"/>
  <c r="K15"/>
  <c r="J15"/>
  <c r="I15"/>
  <c r="L14"/>
  <c r="K14"/>
  <c r="J14"/>
  <c r="I14"/>
  <c r="L13"/>
  <c r="K13"/>
  <c r="J13"/>
  <c r="I13"/>
  <c r="L12"/>
  <c r="K12"/>
  <c r="J12"/>
  <c r="I12"/>
  <c r="L11"/>
  <c r="K11"/>
  <c r="J11"/>
  <c r="I11"/>
  <c r="L10"/>
  <c r="K10"/>
  <c r="J10"/>
  <c r="I10"/>
  <c r="L9"/>
  <c r="K9"/>
  <c r="J9"/>
  <c r="I9"/>
  <c r="L8"/>
  <c r="K8"/>
  <c r="J8"/>
  <c r="I8"/>
  <c r="L7"/>
  <c r="K7"/>
  <c r="J7"/>
  <c r="I7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L6"/>
  <c r="K6"/>
  <c r="J6"/>
  <c r="I6"/>
  <c r="V40" i="14"/>
  <c r="V39"/>
  <c r="V38"/>
  <c r="U42" s="1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M48" a="1"/>
  <c r="M48" s="1"/>
  <c r="M36" a="1"/>
  <c r="M36" s="1"/>
  <c r="P5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M18" a="1"/>
  <c r="M18" s="1"/>
  <c r="M6" a="1"/>
  <c r="M6" s="1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P37" i="13"/>
  <c r="P36"/>
  <c r="P35"/>
  <c r="P34"/>
  <c r="P33"/>
  <c r="P17" a="1"/>
  <c r="P17" s="1"/>
  <c r="S17"/>
  <c r="R18"/>
  <c r="Q19"/>
  <c r="P20"/>
  <c r="T20"/>
  <c r="S21"/>
  <c r="G98"/>
  <c r="L98" s="1"/>
  <c r="G97"/>
  <c r="M97" s="1"/>
  <c r="G96"/>
  <c r="L96" s="1"/>
  <c r="G95"/>
  <c r="M95" s="1"/>
  <c r="G94"/>
  <c r="L94" s="1"/>
  <c r="G93"/>
  <c r="M93" s="1"/>
  <c r="G92"/>
  <c r="L92" s="1"/>
  <c r="G91"/>
  <c r="M91" s="1"/>
  <c r="G90"/>
  <c r="L90" s="1"/>
  <c r="G89"/>
  <c r="M89" s="1"/>
  <c r="G88"/>
  <c r="L88" s="1"/>
  <c r="G87"/>
  <c r="M87" s="1"/>
  <c r="G86"/>
  <c r="L86" s="1"/>
  <c r="G85"/>
  <c r="M85" s="1"/>
  <c r="G84"/>
  <c r="L84" s="1"/>
  <c r="G83"/>
  <c r="M83" s="1"/>
  <c r="G82"/>
  <c r="L82" s="1"/>
  <c r="G81"/>
  <c r="M81" s="1"/>
  <c r="G80"/>
  <c r="L80" s="1"/>
  <c r="G79"/>
  <c r="M79" s="1"/>
  <c r="G78"/>
  <c r="L78" s="1"/>
  <c r="G77"/>
  <c r="M77" s="1"/>
  <c r="G76"/>
  <c r="L76" s="1"/>
  <c r="G75"/>
  <c r="M75" s="1"/>
  <c r="G74"/>
  <c r="L74" s="1"/>
  <c r="G73"/>
  <c r="M73" s="1"/>
  <c r="G72"/>
  <c r="L72" s="1"/>
  <c r="G71"/>
  <c r="M71" s="1"/>
  <c r="G70"/>
  <c r="L70" s="1"/>
  <c r="G69"/>
  <c r="M69" s="1"/>
  <c r="G68"/>
  <c r="L68" s="1"/>
  <c r="G67"/>
  <c r="M67" s="1"/>
  <c r="G66"/>
  <c r="L66" s="1"/>
  <c r="G65"/>
  <c r="M65" s="1"/>
  <c r="G64"/>
  <c r="L64" s="1"/>
  <c r="G63"/>
  <c r="M63" s="1"/>
  <c r="G62"/>
  <c r="L62" s="1"/>
  <c r="G61"/>
  <c r="M61" s="1"/>
  <c r="G60"/>
  <c r="L60" s="1"/>
  <c r="G59"/>
  <c r="M59" s="1"/>
  <c r="G58"/>
  <c r="L58" s="1"/>
  <c r="G57"/>
  <c r="M57" s="1"/>
  <c r="G56"/>
  <c r="L56" s="1"/>
  <c r="G55"/>
  <c r="M55" s="1"/>
  <c r="G54"/>
  <c r="L54" s="1"/>
  <c r="G53"/>
  <c r="M53" s="1"/>
  <c r="G52"/>
  <c r="L52" s="1"/>
  <c r="G51"/>
  <c r="M51" s="1"/>
  <c r="G50"/>
  <c r="L50" s="1"/>
  <c r="G49"/>
  <c r="M49" s="1"/>
  <c r="G48"/>
  <c r="L48" s="1"/>
  <c r="G47"/>
  <c r="M47" s="1"/>
  <c r="G46"/>
  <c r="L46" s="1"/>
  <c r="G45"/>
  <c r="M45" s="1"/>
  <c r="G44"/>
  <c r="L44" s="1"/>
  <c r="G43"/>
  <c r="M43" s="1"/>
  <c r="G42"/>
  <c r="L42" s="1"/>
  <c r="G41"/>
  <c r="M41" s="1"/>
  <c r="G40"/>
  <c r="L40" s="1"/>
  <c r="G39"/>
  <c r="M39" s="1"/>
  <c r="G38"/>
  <c r="L38" s="1"/>
  <c r="G37"/>
  <c r="M37" s="1"/>
  <c r="G36"/>
  <c r="L36" s="1"/>
  <c r="G35"/>
  <c r="M35" s="1"/>
  <c r="G34"/>
  <c r="L34" s="1"/>
  <c r="G33"/>
  <c r="M33" s="1"/>
  <c r="G32"/>
  <c r="L32" s="1"/>
  <c r="G31"/>
  <c r="M31" s="1"/>
  <c r="G30"/>
  <c r="L30" s="1"/>
  <c r="G29"/>
  <c r="M29" s="1"/>
  <c r="G28"/>
  <c r="L28" s="1"/>
  <c r="G27"/>
  <c r="M27" s="1"/>
  <c r="G26"/>
  <c r="L26" s="1"/>
  <c r="G25"/>
  <c r="M25" s="1"/>
  <c r="G24"/>
  <c r="L24" s="1"/>
  <c r="G23"/>
  <c r="M23" s="1"/>
  <c r="G22"/>
  <c r="L22" s="1"/>
  <c r="G21"/>
  <c r="M21" s="1"/>
  <c r="G20"/>
  <c r="L20" s="1"/>
  <c r="G19"/>
  <c r="M19" s="1"/>
  <c r="G18"/>
  <c r="L18" s="1"/>
  <c r="G17"/>
  <c r="M17" s="1"/>
  <c r="G16"/>
  <c r="L16" s="1"/>
  <c r="G15"/>
  <c r="M15" s="1"/>
  <c r="G14"/>
  <c r="L14" s="1"/>
  <c r="G13"/>
  <c r="M13" s="1"/>
  <c r="G12"/>
  <c r="L12" s="1"/>
  <c r="G11"/>
  <c r="M11" s="1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M38" i="20" l="1"/>
  <c r="L61" s="1"/>
  <c r="M39"/>
  <c r="M62" s="1"/>
  <c r="I55" i="21"/>
  <c r="E56"/>
  <c r="I56"/>
  <c r="H56"/>
  <c r="H55"/>
  <c r="B56"/>
  <c r="Q6" a="1"/>
  <c r="R7" s="1"/>
  <c r="R6"/>
  <c r="Q6"/>
  <c r="G9"/>
  <c r="G10"/>
  <c r="G8"/>
  <c r="Q15" a="1"/>
  <c r="C45" i="20"/>
  <c r="C46"/>
  <c r="C47"/>
  <c r="C48"/>
  <c r="F47"/>
  <c r="F48"/>
  <c r="L48"/>
  <c r="K38"/>
  <c r="B60" s="1"/>
  <c r="L8"/>
  <c r="M8"/>
  <c r="M9"/>
  <c r="L14" a="1"/>
  <c r="L17"/>
  <c r="H32" s="1"/>
  <c r="L9"/>
  <c r="H31"/>
  <c r="L21" i="17" a="1"/>
  <c r="L9" a="1"/>
  <c r="M9" s="1"/>
  <c r="L21"/>
  <c r="L24"/>
  <c r="L22"/>
  <c r="L9"/>
  <c r="O11"/>
  <c r="N10"/>
  <c r="O13"/>
  <c r="O22"/>
  <c r="I7" s="1"/>
  <c r="AG22"/>
  <c r="AA9" s="1"/>
  <c r="L25"/>
  <c r="L23"/>
  <c r="O12"/>
  <c r="L11"/>
  <c r="N9"/>
  <c r="AD9"/>
  <c r="AG9"/>
  <c r="AF10"/>
  <c r="AE11"/>
  <c r="AD12"/>
  <c r="AH12"/>
  <c r="AG13"/>
  <c r="AE9"/>
  <c r="AD10"/>
  <c r="AH10"/>
  <c r="AG11"/>
  <c r="AF12"/>
  <c r="AE13"/>
  <c r="AD21" a="1"/>
  <c r="AD25" s="1"/>
  <c r="AA23"/>
  <c r="AA33"/>
  <c r="AA41"/>
  <c r="AA12"/>
  <c r="AA20"/>
  <c r="AA28"/>
  <c r="AA36"/>
  <c r="AA44"/>
  <c r="AH13"/>
  <c r="AF13"/>
  <c r="AD13"/>
  <c r="AG12"/>
  <c r="AE12"/>
  <c r="AH11"/>
  <c r="AF11"/>
  <c r="AD11"/>
  <c r="AG10"/>
  <c r="AE10"/>
  <c r="AH9"/>
  <c r="AF9"/>
  <c r="R13" i="16"/>
  <c r="R14"/>
  <c r="R5" a="1"/>
  <c r="T7" s="1"/>
  <c r="R22"/>
  <c r="L6" s="1"/>
  <c r="L7"/>
  <c r="L9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R15"/>
  <c r="AS37" i="15"/>
  <c r="AQ37"/>
  <c r="AO37"/>
  <c r="AR36"/>
  <c r="AP36"/>
  <c r="AS35"/>
  <c r="AQ35"/>
  <c r="AO35"/>
  <c r="AR34"/>
  <c r="AP34"/>
  <c r="AS33"/>
  <c r="AQ33"/>
  <c r="AO28"/>
  <c r="AO26"/>
  <c r="AO29"/>
  <c r="AO27"/>
  <c r="AR22"/>
  <c r="AP22"/>
  <c r="AN22"/>
  <c r="AL22"/>
  <c r="AJ22"/>
  <c r="AR21"/>
  <c r="AP21"/>
  <c r="AN21"/>
  <c r="AL21"/>
  <c r="AJ21"/>
  <c r="AR20"/>
  <c r="AP20"/>
  <c r="AN20"/>
  <c r="AL20"/>
  <c r="AJ20"/>
  <c r="AR19"/>
  <c r="AP19"/>
  <c r="AN19"/>
  <c r="AL19"/>
  <c r="AJ19"/>
  <c r="AR18"/>
  <c r="AP18"/>
  <c r="AN18"/>
  <c r="AL18"/>
  <c r="AJ18"/>
  <c r="AR17"/>
  <c r="AP17"/>
  <c r="AN17"/>
  <c r="AL17"/>
  <c r="AJ17"/>
  <c r="AR16"/>
  <c r="AP16"/>
  <c r="AN16"/>
  <c r="AL16"/>
  <c r="AJ16"/>
  <c r="AR15"/>
  <c r="AP15"/>
  <c r="AN15"/>
  <c r="AL15"/>
  <c r="AJ15"/>
  <c r="AR14"/>
  <c r="AP14"/>
  <c r="AN14"/>
  <c r="AL14"/>
  <c r="AJ14"/>
  <c r="AR13"/>
  <c r="AP13"/>
  <c r="AN13"/>
  <c r="AL13"/>
  <c r="W33"/>
  <c r="N96"/>
  <c r="W37"/>
  <c r="AL33"/>
  <c r="AL31"/>
  <c r="AL29"/>
  <c r="AL27"/>
  <c r="Q21" i="13"/>
  <c r="R20"/>
  <c r="S19"/>
  <c r="T18"/>
  <c r="P18"/>
  <c r="Q17"/>
  <c r="T38" i="15"/>
  <c r="T36"/>
  <c r="T34"/>
  <c r="T32"/>
  <c r="Q39"/>
  <c r="Q37"/>
  <c r="Q35"/>
  <c r="Q33"/>
  <c r="Q31"/>
  <c r="Q38"/>
  <c r="Q36"/>
  <c r="Q34"/>
  <c r="Q32"/>
  <c r="Z27"/>
  <c r="X27"/>
  <c r="V27"/>
  <c r="T27"/>
  <c r="R27"/>
  <c r="Z26"/>
  <c r="X26"/>
  <c r="V26"/>
  <c r="T26"/>
  <c r="R26"/>
  <c r="Z25"/>
  <c r="X25"/>
  <c r="V25"/>
  <c r="T25"/>
  <c r="R25"/>
  <c r="Z24"/>
  <c r="X24"/>
  <c r="V24"/>
  <c r="T24"/>
  <c r="R24"/>
  <c r="Z23"/>
  <c r="X23"/>
  <c r="V23"/>
  <c r="T23"/>
  <c r="R23"/>
  <c r="Z22"/>
  <c r="X22"/>
  <c r="V22"/>
  <c r="T22"/>
  <c r="R22"/>
  <c r="Z21"/>
  <c r="X21"/>
  <c r="V21"/>
  <c r="T21"/>
  <c r="R21"/>
  <c r="Z20"/>
  <c r="X20"/>
  <c r="V20"/>
  <c r="T20"/>
  <c r="R20"/>
  <c r="Z19"/>
  <c r="X19"/>
  <c r="V19"/>
  <c r="T19"/>
  <c r="R19"/>
  <c r="Z18"/>
  <c r="X18"/>
  <c r="V18"/>
  <c r="T18"/>
  <c r="R18"/>
  <c r="Y27"/>
  <c r="W27"/>
  <c r="U27"/>
  <c r="S27"/>
  <c r="Q27"/>
  <c r="Y26"/>
  <c r="W26"/>
  <c r="U26"/>
  <c r="S26"/>
  <c r="Q26"/>
  <c r="Y25"/>
  <c r="W25"/>
  <c r="U25"/>
  <c r="S25"/>
  <c r="Q25"/>
  <c r="Y24"/>
  <c r="W24"/>
  <c r="U24"/>
  <c r="S24"/>
  <c r="Q24"/>
  <c r="Y23"/>
  <c r="W23"/>
  <c r="U23"/>
  <c r="S23"/>
  <c r="Q23"/>
  <c r="Y22"/>
  <c r="W22"/>
  <c r="U22"/>
  <c r="S22"/>
  <c r="Q22"/>
  <c r="Y21"/>
  <c r="W21"/>
  <c r="U21"/>
  <c r="S21"/>
  <c r="Q21"/>
  <c r="Y20"/>
  <c r="W20"/>
  <c r="U20"/>
  <c r="S20"/>
  <c r="Q20"/>
  <c r="Y19"/>
  <c r="W19"/>
  <c r="U19"/>
  <c r="S19"/>
  <c r="Q19"/>
  <c r="Y18"/>
  <c r="W18"/>
  <c r="U18"/>
  <c r="S18"/>
  <c r="Z15"/>
  <c r="X15"/>
  <c r="V15"/>
  <c r="T15"/>
  <c r="R15"/>
  <c r="Z14"/>
  <c r="X14"/>
  <c r="V14"/>
  <c r="T14"/>
  <c r="R14"/>
  <c r="Z13"/>
  <c r="X13"/>
  <c r="V13"/>
  <c r="T13"/>
  <c r="R13"/>
  <c r="Z12"/>
  <c r="X12"/>
  <c r="V12"/>
  <c r="T12"/>
  <c r="R12"/>
  <c r="Z11"/>
  <c r="X11"/>
  <c r="V11"/>
  <c r="T11"/>
  <c r="R11"/>
  <c r="Z10"/>
  <c r="X10"/>
  <c r="V10"/>
  <c r="T10"/>
  <c r="R10"/>
  <c r="Z9"/>
  <c r="X9"/>
  <c r="V9"/>
  <c r="T9"/>
  <c r="R9"/>
  <c r="Z8"/>
  <c r="X8"/>
  <c r="V8"/>
  <c r="T8"/>
  <c r="R8"/>
  <c r="Z7"/>
  <c r="X7"/>
  <c r="V7"/>
  <c r="T7"/>
  <c r="R7"/>
  <c r="Z6"/>
  <c r="X6"/>
  <c r="V6"/>
  <c r="T6"/>
  <c r="R6"/>
  <c r="Y15"/>
  <c r="W15"/>
  <c r="U15"/>
  <c r="S15"/>
  <c r="Q15"/>
  <c r="Y14"/>
  <c r="W14"/>
  <c r="U14"/>
  <c r="S14"/>
  <c r="Q14"/>
  <c r="Y13"/>
  <c r="W13"/>
  <c r="U13"/>
  <c r="S13"/>
  <c r="Q13"/>
  <c r="Y12"/>
  <c r="W12"/>
  <c r="U12"/>
  <c r="S12"/>
  <c r="Q12"/>
  <c r="Y11"/>
  <c r="W11"/>
  <c r="U11"/>
  <c r="S11"/>
  <c r="Q11"/>
  <c r="Y10"/>
  <c r="W10"/>
  <c r="U10"/>
  <c r="S10"/>
  <c r="Q10"/>
  <c r="Y9"/>
  <c r="W9"/>
  <c r="U9"/>
  <c r="S9"/>
  <c r="Q9"/>
  <c r="Y8"/>
  <c r="W8"/>
  <c r="U8"/>
  <c r="S8"/>
  <c r="Q8"/>
  <c r="Y7"/>
  <c r="W7"/>
  <c r="U7"/>
  <c r="S7"/>
  <c r="Q7"/>
  <c r="Y6"/>
  <c r="W6"/>
  <c r="U6"/>
  <c r="S6"/>
  <c r="M51" i="14"/>
  <c r="M49"/>
  <c r="M52"/>
  <c r="M50"/>
  <c r="P40"/>
  <c r="N40"/>
  <c r="Q39"/>
  <c r="O39"/>
  <c r="M39"/>
  <c r="P38"/>
  <c r="N38"/>
  <c r="Q37"/>
  <c r="O37"/>
  <c r="M37"/>
  <c r="P36"/>
  <c r="N36"/>
  <c r="Q40"/>
  <c r="O40"/>
  <c r="M40"/>
  <c r="P39"/>
  <c r="N39"/>
  <c r="Q38"/>
  <c r="O38"/>
  <c r="M38"/>
  <c r="P37"/>
  <c r="N37"/>
  <c r="Q36"/>
  <c r="O36"/>
  <c r="M21"/>
  <c r="M19"/>
  <c r="M22"/>
  <c r="M20"/>
  <c r="P10"/>
  <c r="N10"/>
  <c r="Q9"/>
  <c r="O9"/>
  <c r="M9"/>
  <c r="P8"/>
  <c r="N8"/>
  <c r="Q7"/>
  <c r="O7"/>
  <c r="M7"/>
  <c r="P6"/>
  <c r="N6"/>
  <c r="Q10"/>
  <c r="O10"/>
  <c r="M10"/>
  <c r="P9"/>
  <c r="N9"/>
  <c r="Q8"/>
  <c r="O8"/>
  <c r="M8"/>
  <c r="P7"/>
  <c r="N7"/>
  <c r="Q6"/>
  <c r="O6"/>
  <c r="T21" i="13"/>
  <c r="R21"/>
  <c r="P21"/>
  <c r="S20"/>
  <c r="Q20"/>
  <c r="T19"/>
  <c r="R19"/>
  <c r="P19"/>
  <c r="S18"/>
  <c r="Q18"/>
  <c r="T17"/>
  <c r="R17"/>
  <c r="J11"/>
  <c r="L11"/>
  <c r="I12"/>
  <c r="K12"/>
  <c r="M12"/>
  <c r="J13"/>
  <c r="L13"/>
  <c r="I14"/>
  <c r="K14"/>
  <c r="M14"/>
  <c r="J15"/>
  <c r="L15"/>
  <c r="I16"/>
  <c r="K16"/>
  <c r="M16"/>
  <c r="J17"/>
  <c r="L17"/>
  <c r="I18"/>
  <c r="K18"/>
  <c r="M18"/>
  <c r="J19"/>
  <c r="L19"/>
  <c r="I20"/>
  <c r="K20"/>
  <c r="M20"/>
  <c r="J21"/>
  <c r="L21"/>
  <c r="I22"/>
  <c r="K22"/>
  <c r="M22"/>
  <c r="J23"/>
  <c r="L23"/>
  <c r="I24"/>
  <c r="K24"/>
  <c r="M24"/>
  <c r="J25"/>
  <c r="L25"/>
  <c r="I26"/>
  <c r="K26"/>
  <c r="M26"/>
  <c r="J27"/>
  <c r="L27"/>
  <c r="I28"/>
  <c r="K28"/>
  <c r="M28"/>
  <c r="J29"/>
  <c r="L29"/>
  <c r="I30"/>
  <c r="K30"/>
  <c r="M30"/>
  <c r="J31"/>
  <c r="L31"/>
  <c r="I32"/>
  <c r="K32"/>
  <c r="M32"/>
  <c r="J33"/>
  <c r="L33"/>
  <c r="I34"/>
  <c r="K34"/>
  <c r="M34"/>
  <c r="J35"/>
  <c r="L35"/>
  <c r="I36"/>
  <c r="K36"/>
  <c r="M36"/>
  <c r="J37"/>
  <c r="L37"/>
  <c r="I38"/>
  <c r="K38"/>
  <c r="M38"/>
  <c r="J39"/>
  <c r="L39"/>
  <c r="I40"/>
  <c r="K40"/>
  <c r="M40"/>
  <c r="J41"/>
  <c r="L41"/>
  <c r="I42"/>
  <c r="K42"/>
  <c r="M42"/>
  <c r="J43"/>
  <c r="L43"/>
  <c r="I44"/>
  <c r="K44"/>
  <c r="M44"/>
  <c r="J45"/>
  <c r="L45"/>
  <c r="I46"/>
  <c r="K46"/>
  <c r="M46"/>
  <c r="J47"/>
  <c r="L47"/>
  <c r="I48"/>
  <c r="K48"/>
  <c r="M48"/>
  <c r="J49"/>
  <c r="L49"/>
  <c r="I50"/>
  <c r="K50"/>
  <c r="M50"/>
  <c r="J51"/>
  <c r="L51"/>
  <c r="I52"/>
  <c r="K52"/>
  <c r="M52"/>
  <c r="J53"/>
  <c r="L53"/>
  <c r="I54"/>
  <c r="K54"/>
  <c r="M54"/>
  <c r="J55"/>
  <c r="L55"/>
  <c r="I56"/>
  <c r="K56"/>
  <c r="M56"/>
  <c r="J57"/>
  <c r="L57"/>
  <c r="I58"/>
  <c r="K58"/>
  <c r="M58"/>
  <c r="J59"/>
  <c r="L59"/>
  <c r="I60"/>
  <c r="K60"/>
  <c r="M60"/>
  <c r="J61"/>
  <c r="L61"/>
  <c r="I62"/>
  <c r="K62"/>
  <c r="M62"/>
  <c r="J63"/>
  <c r="L63"/>
  <c r="I64"/>
  <c r="K64"/>
  <c r="M64"/>
  <c r="J65"/>
  <c r="L65"/>
  <c r="I66"/>
  <c r="K66"/>
  <c r="M66"/>
  <c r="J67"/>
  <c r="L67"/>
  <c r="I68"/>
  <c r="K68"/>
  <c r="M68"/>
  <c r="J69"/>
  <c r="L69"/>
  <c r="I70"/>
  <c r="K70"/>
  <c r="M70"/>
  <c r="J71"/>
  <c r="L71"/>
  <c r="I72"/>
  <c r="K72"/>
  <c r="M72"/>
  <c r="J73"/>
  <c r="L73"/>
  <c r="I74"/>
  <c r="K74"/>
  <c r="M74"/>
  <c r="J75"/>
  <c r="L75"/>
  <c r="I76"/>
  <c r="K76"/>
  <c r="M76"/>
  <c r="J77"/>
  <c r="L77"/>
  <c r="I78"/>
  <c r="K78"/>
  <c r="M78"/>
  <c r="J79"/>
  <c r="L79"/>
  <c r="I80"/>
  <c r="K80"/>
  <c r="M80"/>
  <c r="J81"/>
  <c r="L81"/>
  <c r="I82"/>
  <c r="K82"/>
  <c r="M82"/>
  <c r="J83"/>
  <c r="L83"/>
  <c r="I84"/>
  <c r="K84"/>
  <c r="M84"/>
  <c r="J85"/>
  <c r="L85"/>
  <c r="I86"/>
  <c r="K86"/>
  <c r="M86"/>
  <c r="J87"/>
  <c r="L87"/>
  <c r="I88"/>
  <c r="K88"/>
  <c r="M88"/>
  <c r="J89"/>
  <c r="L89"/>
  <c r="I90"/>
  <c r="K90"/>
  <c r="M90"/>
  <c r="J91"/>
  <c r="L91"/>
  <c r="I92"/>
  <c r="K92"/>
  <c r="M92"/>
  <c r="J93"/>
  <c r="L93"/>
  <c r="I94"/>
  <c r="K94"/>
  <c r="M94"/>
  <c r="J95"/>
  <c r="L95"/>
  <c r="I96"/>
  <c r="K96"/>
  <c r="M96"/>
  <c r="J97"/>
  <c r="L97"/>
  <c r="I98"/>
  <c r="K98"/>
  <c r="M98"/>
  <c r="I11"/>
  <c r="K11"/>
  <c r="J12"/>
  <c r="I13"/>
  <c r="K13"/>
  <c r="J14"/>
  <c r="I15"/>
  <c r="K15"/>
  <c r="J16"/>
  <c r="I17"/>
  <c r="K17"/>
  <c r="J18"/>
  <c r="I19"/>
  <c r="K19"/>
  <c r="J20"/>
  <c r="I21"/>
  <c r="K21"/>
  <c r="J22"/>
  <c r="I23"/>
  <c r="K23"/>
  <c r="J24"/>
  <c r="I25"/>
  <c r="K25"/>
  <c r="J26"/>
  <c r="I27"/>
  <c r="K27"/>
  <c r="J28"/>
  <c r="I29"/>
  <c r="K29"/>
  <c r="J30"/>
  <c r="I31"/>
  <c r="K31"/>
  <c r="J32"/>
  <c r="I33"/>
  <c r="K33"/>
  <c r="J34"/>
  <c r="I35"/>
  <c r="K35"/>
  <c r="J36"/>
  <c r="I37"/>
  <c r="K37"/>
  <c r="J38"/>
  <c r="I39"/>
  <c r="K39"/>
  <c r="J40"/>
  <c r="I41"/>
  <c r="K41"/>
  <c r="J42"/>
  <c r="I43"/>
  <c r="K43"/>
  <c r="J44"/>
  <c r="I45"/>
  <c r="K45"/>
  <c r="J46"/>
  <c r="I47"/>
  <c r="K47"/>
  <c r="J48"/>
  <c r="I49"/>
  <c r="K49"/>
  <c r="J50"/>
  <c r="I51"/>
  <c r="K51"/>
  <c r="J52"/>
  <c r="I53"/>
  <c r="K53"/>
  <c r="J54"/>
  <c r="I55"/>
  <c r="K55"/>
  <c r="J56"/>
  <c r="I57"/>
  <c r="K57"/>
  <c r="J58"/>
  <c r="I59"/>
  <c r="K59"/>
  <c r="J60"/>
  <c r="I61"/>
  <c r="K61"/>
  <c r="J62"/>
  <c r="I63"/>
  <c r="K63"/>
  <c r="J64"/>
  <c r="I65"/>
  <c r="K65"/>
  <c r="J66"/>
  <c r="I67"/>
  <c r="K67"/>
  <c r="J68"/>
  <c r="I69"/>
  <c r="K69"/>
  <c r="J70"/>
  <c r="I71"/>
  <c r="K71"/>
  <c r="J72"/>
  <c r="I73"/>
  <c r="K73"/>
  <c r="J74"/>
  <c r="I75"/>
  <c r="K75"/>
  <c r="J76"/>
  <c r="I77"/>
  <c r="K77"/>
  <c r="J78"/>
  <c r="I79"/>
  <c r="K79"/>
  <c r="J80"/>
  <c r="I81"/>
  <c r="K81"/>
  <c r="J82"/>
  <c r="I83"/>
  <c r="K83"/>
  <c r="J84"/>
  <c r="I85"/>
  <c r="K85"/>
  <c r="J86"/>
  <c r="I87"/>
  <c r="K87"/>
  <c r="J88"/>
  <c r="I89"/>
  <c r="K89"/>
  <c r="J90"/>
  <c r="I91"/>
  <c r="K91"/>
  <c r="J92"/>
  <c r="I93"/>
  <c r="K93"/>
  <c r="J94"/>
  <c r="I95"/>
  <c r="K95"/>
  <c r="J96"/>
  <c r="I97"/>
  <c r="K97"/>
  <c r="J98"/>
  <c r="H30" i="20" l="1"/>
  <c r="H33"/>
  <c r="I45" i="17"/>
  <c r="I43"/>
  <c r="I41"/>
  <c r="I39"/>
  <c r="I37"/>
  <c r="I35"/>
  <c r="I33"/>
  <c r="I31"/>
  <c r="I29"/>
  <c r="I27"/>
  <c r="I25"/>
  <c r="I23"/>
  <c r="I21"/>
  <c r="I19"/>
  <c r="I17"/>
  <c r="I15"/>
  <c r="I13"/>
  <c r="I11"/>
  <c r="I9"/>
  <c r="I8"/>
  <c r="I47" s="1"/>
  <c r="AA40"/>
  <c r="AA32"/>
  <c r="AA24"/>
  <c r="AA16"/>
  <c r="AA45"/>
  <c r="AA37"/>
  <c r="AA29"/>
  <c r="AA15"/>
  <c r="M10"/>
  <c r="P11"/>
  <c r="N13"/>
  <c r="L12"/>
  <c r="M13"/>
  <c r="L10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Q11" i="21" a="1"/>
  <c r="R12" s="1"/>
  <c r="Q7"/>
  <c r="G11"/>
  <c r="Q15"/>
  <c r="Q16"/>
  <c r="R11"/>
  <c r="Q11"/>
  <c r="L14" i="20"/>
  <c r="L15"/>
  <c r="L11" a="1"/>
  <c r="L11" s="1"/>
  <c r="AA46" i="17"/>
  <c r="AA42"/>
  <c r="AA38"/>
  <c r="AA34"/>
  <c r="AA30"/>
  <c r="AA26"/>
  <c r="AA22"/>
  <c r="AA18"/>
  <c r="AA14"/>
  <c r="AA10"/>
  <c r="AA43"/>
  <c r="AA39"/>
  <c r="AA35"/>
  <c r="AA31"/>
  <c r="AA27"/>
  <c r="AA19"/>
  <c r="AA11"/>
  <c r="P9"/>
  <c r="O10"/>
  <c r="N11"/>
  <c r="M12"/>
  <c r="L13"/>
  <c r="P13"/>
  <c r="P12"/>
  <c r="M11"/>
  <c r="O9"/>
  <c r="N12"/>
  <c r="P10"/>
  <c r="AA25"/>
  <c r="AA21"/>
  <c r="AA17"/>
  <c r="AA13"/>
  <c r="AD21"/>
  <c r="AD22"/>
  <c r="AD24"/>
  <c r="AD23"/>
  <c r="AD15" a="1"/>
  <c r="S6" i="16"/>
  <c r="R5"/>
  <c r="S5"/>
  <c r="T6"/>
  <c r="R6"/>
  <c r="S7"/>
  <c r="L34"/>
  <c r="L30"/>
  <c r="L26"/>
  <c r="L22"/>
  <c r="L18"/>
  <c r="L14"/>
  <c r="L10"/>
  <c r="L44"/>
  <c r="L42"/>
  <c r="L40"/>
  <c r="L38"/>
  <c r="T5"/>
  <c r="R7"/>
  <c r="L36"/>
  <c r="L32"/>
  <c r="L28"/>
  <c r="L24"/>
  <c r="L20"/>
  <c r="L16"/>
  <c r="L12"/>
  <c r="L8"/>
  <c r="AO31" i="15" a="1"/>
  <c r="AO31"/>
  <c r="AP31"/>
  <c r="AR31"/>
  <c r="AQ31"/>
  <c r="AS31"/>
  <c r="P10" i="13" a="1"/>
  <c r="M42" i="14" a="1"/>
  <c r="M12" a="1"/>
  <c r="AW42" i="12"/>
  <c r="AW46"/>
  <c r="AQ91"/>
  <c r="AQ90"/>
  <c r="AQ89"/>
  <c r="AQ88"/>
  <c r="AQ87"/>
  <c r="AQ86"/>
  <c r="AQ85"/>
  <c r="AQ84"/>
  <c r="AQ83"/>
  <c r="AQ82"/>
  <c r="AQ81"/>
  <c r="AQ80"/>
  <c r="AQ79"/>
  <c r="AQ78"/>
  <c r="AQ77"/>
  <c r="AQ76"/>
  <c r="AQ75"/>
  <c r="AQ74"/>
  <c r="AQ73"/>
  <c r="AQ72"/>
  <c r="AQ71"/>
  <c r="AQ70"/>
  <c r="AQ69"/>
  <c r="AQ68"/>
  <c r="AQ67"/>
  <c r="AQ66"/>
  <c r="AQ65"/>
  <c r="AQ64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Q7"/>
  <c r="AQ6"/>
  <c r="AQ5"/>
  <c r="AQ4"/>
  <c r="AQ92"/>
  <c r="AW45"/>
  <c r="AW43"/>
  <c r="AW39"/>
  <c r="AP92"/>
  <c r="AO92"/>
  <c r="H4"/>
  <c r="AE91"/>
  <c r="AC91"/>
  <c r="AB91"/>
  <c r="AA91"/>
  <c r="AT3"/>
  <c r="AU3" s="1"/>
  <c r="AV3" s="1"/>
  <c r="AW3" s="1"/>
  <c r="AX3" s="1"/>
  <c r="AY3" s="1"/>
  <c r="AZ3" s="1"/>
  <c r="BA3" s="1"/>
  <c r="BB3" s="1"/>
  <c r="BC3" s="1"/>
  <c r="BD3" s="1"/>
  <c r="BE3" s="1"/>
  <c r="BF3" s="1"/>
  <c r="AE90"/>
  <c r="AH90" s="1"/>
  <c r="AC90"/>
  <c r="AB90"/>
  <c r="AA90"/>
  <c r="AE89"/>
  <c r="AH89" s="1"/>
  <c r="AC89"/>
  <c r="AD89" s="1"/>
  <c r="AB89"/>
  <c r="AA89"/>
  <c r="AE88"/>
  <c r="AH88" s="1"/>
  <c r="AC88"/>
  <c r="AB88"/>
  <c r="AA88"/>
  <c r="AE87"/>
  <c r="AH87" s="1"/>
  <c r="AC87"/>
  <c r="AD87" s="1"/>
  <c r="AB87"/>
  <c r="AA87"/>
  <c r="AE86"/>
  <c r="AH86" s="1"/>
  <c r="AC86"/>
  <c r="AB86"/>
  <c r="AA86"/>
  <c r="AE85"/>
  <c r="AH85" s="1"/>
  <c r="AC85"/>
  <c r="AD85" s="1"/>
  <c r="AB85"/>
  <c r="AA85"/>
  <c r="AE84"/>
  <c r="AH84" s="1"/>
  <c r="AC84"/>
  <c r="AB84"/>
  <c r="AA84"/>
  <c r="AE83"/>
  <c r="AH83" s="1"/>
  <c r="AC83"/>
  <c r="AD83" s="1"/>
  <c r="AB83"/>
  <c r="AA83"/>
  <c r="AE82"/>
  <c r="AH82" s="1"/>
  <c r="AC82"/>
  <c r="AB82"/>
  <c r="AA82"/>
  <c r="AE81"/>
  <c r="AH81" s="1"/>
  <c r="AC81"/>
  <c r="AD81" s="1"/>
  <c r="AB81"/>
  <c r="AA81"/>
  <c r="AE80"/>
  <c r="AH80" s="1"/>
  <c r="AC80"/>
  <c r="AM80" s="1"/>
  <c r="AB80"/>
  <c r="AA80"/>
  <c r="AE79"/>
  <c r="AH79" s="1"/>
  <c r="AC79"/>
  <c r="AD79" s="1"/>
  <c r="AB79"/>
  <c r="AA79"/>
  <c r="AE78"/>
  <c r="AH78" s="1"/>
  <c r="AC78"/>
  <c r="AM78" s="1"/>
  <c r="AB78"/>
  <c r="AA78"/>
  <c r="AE77"/>
  <c r="AH77" s="1"/>
  <c r="AC77"/>
  <c r="AD77" s="1"/>
  <c r="AB77"/>
  <c r="AA77"/>
  <c r="AE76"/>
  <c r="AH76" s="1"/>
  <c r="AC76"/>
  <c r="AM76" s="1"/>
  <c r="AB76"/>
  <c r="AA76"/>
  <c r="AE75"/>
  <c r="AH75" s="1"/>
  <c r="AC75"/>
  <c r="AD75" s="1"/>
  <c r="AB75"/>
  <c r="AA75"/>
  <c r="AE74"/>
  <c r="AH74" s="1"/>
  <c r="AC74"/>
  <c r="AM74" s="1"/>
  <c r="AB74"/>
  <c r="AA74"/>
  <c r="AE73"/>
  <c r="AH73" s="1"/>
  <c r="AC73"/>
  <c r="AD73" s="1"/>
  <c r="AB73"/>
  <c r="AA73"/>
  <c r="AE72"/>
  <c r="AH72" s="1"/>
  <c r="AC72"/>
  <c r="AM72" s="1"/>
  <c r="AB72"/>
  <c r="AA72"/>
  <c r="AE71"/>
  <c r="AH71" s="1"/>
  <c r="AC71"/>
  <c r="AD71" s="1"/>
  <c r="AB71"/>
  <c r="AA71"/>
  <c r="AE70"/>
  <c r="AH70" s="1"/>
  <c r="AC70"/>
  <c r="AM70" s="1"/>
  <c r="AB70"/>
  <c r="AA70"/>
  <c r="AE69"/>
  <c r="AH69" s="1"/>
  <c r="AC69"/>
  <c r="AD69" s="1"/>
  <c r="AB69"/>
  <c r="AA69"/>
  <c r="AE68"/>
  <c r="AH68" s="1"/>
  <c r="AC68"/>
  <c r="AM68" s="1"/>
  <c r="AB68"/>
  <c r="AA68"/>
  <c r="AE67"/>
  <c r="AH67" s="1"/>
  <c r="AC67"/>
  <c r="AD67" s="1"/>
  <c r="AB67"/>
  <c r="AA67"/>
  <c r="AE66"/>
  <c r="AH66" s="1"/>
  <c r="AC66"/>
  <c r="AM66" s="1"/>
  <c r="AB66"/>
  <c r="AA66"/>
  <c r="AE65"/>
  <c r="AH65" s="1"/>
  <c r="AC65"/>
  <c r="AD65" s="1"/>
  <c r="AB65"/>
  <c r="AA65"/>
  <c r="AE64"/>
  <c r="AH64" s="1"/>
  <c r="AC64"/>
  <c r="AM64" s="1"/>
  <c r="AB64"/>
  <c r="AA64"/>
  <c r="AE63"/>
  <c r="AH63" s="1"/>
  <c r="AC63"/>
  <c r="AD63" s="1"/>
  <c r="AB63"/>
  <c r="AA63"/>
  <c r="AE62"/>
  <c r="AH62" s="1"/>
  <c r="AC62"/>
  <c r="AM62" s="1"/>
  <c r="AB62"/>
  <c r="AA62"/>
  <c r="AE61"/>
  <c r="AH61" s="1"/>
  <c r="AC61"/>
  <c r="AD61" s="1"/>
  <c r="AB61"/>
  <c r="AA61"/>
  <c r="AE60"/>
  <c r="AH60" s="1"/>
  <c r="AC60"/>
  <c r="AM60" s="1"/>
  <c r="AB60"/>
  <c r="AA60"/>
  <c r="AE59"/>
  <c r="AH59" s="1"/>
  <c r="AC59"/>
  <c r="AD59" s="1"/>
  <c r="AB59"/>
  <c r="AA59"/>
  <c r="AE58"/>
  <c r="AH58" s="1"/>
  <c r="AC58"/>
  <c r="AB58"/>
  <c r="AA58"/>
  <c r="AE57"/>
  <c r="AH57" s="1"/>
  <c r="AC57"/>
  <c r="AD57" s="1"/>
  <c r="AB57"/>
  <c r="AA57"/>
  <c r="AE56"/>
  <c r="AH56" s="1"/>
  <c r="AC56"/>
  <c r="AB56"/>
  <c r="AK56" s="1"/>
  <c r="AA56"/>
  <c r="AE55"/>
  <c r="AH55" s="1"/>
  <c r="AC55"/>
  <c r="AD55" s="1"/>
  <c r="AB55"/>
  <c r="AA55"/>
  <c r="AE54"/>
  <c r="AH54" s="1"/>
  <c r="AC54"/>
  <c r="AM54" s="1"/>
  <c r="AB54"/>
  <c r="AK54" s="1"/>
  <c r="AA54"/>
  <c r="AE53"/>
  <c r="AH53" s="1"/>
  <c r="AC53"/>
  <c r="AD53" s="1"/>
  <c r="AB53"/>
  <c r="AA53"/>
  <c r="AE52"/>
  <c r="AH52" s="1"/>
  <c r="AC52"/>
  <c r="AM52" s="1"/>
  <c r="AB52"/>
  <c r="AK52" s="1"/>
  <c r="AA52"/>
  <c r="AE51"/>
  <c r="AH51" s="1"/>
  <c r="AC51"/>
  <c r="AD51" s="1"/>
  <c r="AB51"/>
  <c r="AA51"/>
  <c r="AE50"/>
  <c r="AH50" s="1"/>
  <c r="AC50"/>
  <c r="AM50" s="1"/>
  <c r="AB50"/>
  <c r="AK50" s="1"/>
  <c r="AA50"/>
  <c r="AE49"/>
  <c r="AH49" s="1"/>
  <c r="AC49"/>
  <c r="AD49" s="1"/>
  <c r="AB49"/>
  <c r="AA49"/>
  <c r="AH48"/>
  <c r="AE48"/>
  <c r="AD48"/>
  <c r="AG48" s="1"/>
  <c r="AC48"/>
  <c r="AM48" s="1"/>
  <c r="AB48"/>
  <c r="AK48" s="1"/>
  <c r="AA48"/>
  <c r="AE47"/>
  <c r="AH47" s="1"/>
  <c r="AC47"/>
  <c r="AD47" s="1"/>
  <c r="AB47"/>
  <c r="AA47"/>
  <c r="AH46"/>
  <c r="AE46"/>
  <c r="AD46"/>
  <c r="AG46" s="1"/>
  <c r="AC46"/>
  <c r="AM46" s="1"/>
  <c r="AB46"/>
  <c r="AK46" s="1"/>
  <c r="AA46"/>
  <c r="AE45"/>
  <c r="AH45" s="1"/>
  <c r="AC45"/>
  <c r="AD45" s="1"/>
  <c r="AB45"/>
  <c r="AA45"/>
  <c r="AE44"/>
  <c r="AH44" s="1"/>
  <c r="AC44"/>
  <c r="AB44"/>
  <c r="AA44"/>
  <c r="AE43"/>
  <c r="AH43" s="1"/>
  <c r="AC43"/>
  <c r="AD43" s="1"/>
  <c r="AB43"/>
  <c r="AA43"/>
  <c r="AE42"/>
  <c r="AH42" s="1"/>
  <c r="AC42"/>
  <c r="AB42"/>
  <c r="AA42"/>
  <c r="AE41"/>
  <c r="AH41" s="1"/>
  <c r="AC41"/>
  <c r="AD41" s="1"/>
  <c r="AB41"/>
  <c r="AA41"/>
  <c r="AE40"/>
  <c r="AH40" s="1"/>
  <c r="AC40"/>
  <c r="AB40"/>
  <c r="AA40"/>
  <c r="AE39"/>
  <c r="AH39" s="1"/>
  <c r="AC39"/>
  <c r="AD39" s="1"/>
  <c r="AG39" s="1"/>
  <c r="AB39"/>
  <c r="AA39"/>
  <c r="AE38"/>
  <c r="AC38"/>
  <c r="AB38"/>
  <c r="AA38"/>
  <c r="AE37"/>
  <c r="AH37" s="1"/>
  <c r="AC37"/>
  <c r="AB37"/>
  <c r="AA37"/>
  <c r="AE36"/>
  <c r="AC36"/>
  <c r="AB36"/>
  <c r="AA36"/>
  <c r="AE35"/>
  <c r="AH35" s="1"/>
  <c r="AC35"/>
  <c r="AB35"/>
  <c r="AA35"/>
  <c r="AE34"/>
  <c r="AC34"/>
  <c r="AB34"/>
  <c r="AA34"/>
  <c r="AE33"/>
  <c r="AH33" s="1"/>
  <c r="AC33"/>
  <c r="AB33"/>
  <c r="AA33"/>
  <c r="AE32"/>
  <c r="AC32"/>
  <c r="AB32"/>
  <c r="AA32"/>
  <c r="AE31"/>
  <c r="AH31" s="1"/>
  <c r="AC31"/>
  <c r="AB31"/>
  <c r="AA31"/>
  <c r="AE30"/>
  <c r="AC30"/>
  <c r="AB30"/>
  <c r="AA30"/>
  <c r="AE29"/>
  <c r="AH29" s="1"/>
  <c r="AC29"/>
  <c r="AB29"/>
  <c r="AA29"/>
  <c r="AE28"/>
  <c r="AC28"/>
  <c r="AB28"/>
  <c r="AA28"/>
  <c r="AE27"/>
  <c r="AH27" s="1"/>
  <c r="AC27"/>
  <c r="AB27"/>
  <c r="AA27"/>
  <c r="AE26"/>
  <c r="AC26"/>
  <c r="AB26"/>
  <c r="AA26"/>
  <c r="AE25"/>
  <c r="AH25" s="1"/>
  <c r="AC25"/>
  <c r="AB25"/>
  <c r="AA25"/>
  <c r="AE24"/>
  <c r="AC24"/>
  <c r="AB24"/>
  <c r="AA24"/>
  <c r="AE23"/>
  <c r="AH23" s="1"/>
  <c r="AC23"/>
  <c r="AB23"/>
  <c r="AA23"/>
  <c r="AE22"/>
  <c r="AC22"/>
  <c r="AB22"/>
  <c r="AA22"/>
  <c r="AE21"/>
  <c r="AH21" s="1"/>
  <c r="AC21"/>
  <c r="AB21"/>
  <c r="AA21"/>
  <c r="AE20"/>
  <c r="AC20"/>
  <c r="AB20"/>
  <c r="AA20"/>
  <c r="AE19"/>
  <c r="AH19" s="1"/>
  <c r="AC19"/>
  <c r="AB19"/>
  <c r="AA19"/>
  <c r="AE18"/>
  <c r="AC18"/>
  <c r="AB18"/>
  <c r="AA18"/>
  <c r="AE17"/>
  <c r="AH17" s="1"/>
  <c r="AC17"/>
  <c r="AB17"/>
  <c r="AA17"/>
  <c r="AE16"/>
  <c r="AC16"/>
  <c r="AB16"/>
  <c r="AA16"/>
  <c r="AE15"/>
  <c r="AH15" s="1"/>
  <c r="AC15"/>
  <c r="AB15"/>
  <c r="AA15"/>
  <c r="AE14"/>
  <c r="AC14"/>
  <c r="AB14"/>
  <c r="AA14"/>
  <c r="AE13"/>
  <c r="AH13" s="1"/>
  <c r="AC13"/>
  <c r="AB13"/>
  <c r="AA13"/>
  <c r="AE12"/>
  <c r="AC12"/>
  <c r="AB12"/>
  <c r="AA12"/>
  <c r="AE11"/>
  <c r="AH11" s="1"/>
  <c r="AC11"/>
  <c r="AB11"/>
  <c r="AA11"/>
  <c r="AE10"/>
  <c r="AC10"/>
  <c r="AB10"/>
  <c r="AA10"/>
  <c r="AE9"/>
  <c r="AH9" s="1"/>
  <c r="AC9"/>
  <c r="AB9"/>
  <c r="AA9"/>
  <c r="AE8"/>
  <c r="AC8"/>
  <c r="AB8"/>
  <c r="AA8"/>
  <c r="AE7"/>
  <c r="AH7" s="1"/>
  <c r="AC7"/>
  <c r="AB7"/>
  <c r="AA7"/>
  <c r="AE6"/>
  <c r="AC6"/>
  <c r="AB6"/>
  <c r="AA6"/>
  <c r="AE5"/>
  <c r="AH5" s="1"/>
  <c r="AC5"/>
  <c r="AB5"/>
  <c r="AA5"/>
  <c r="AE4"/>
  <c r="AH4" s="1"/>
  <c r="AC4"/>
  <c r="AB4"/>
  <c r="AK4" s="1"/>
  <c r="AA4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S16" i="11"/>
  <c r="S15"/>
  <c r="S14"/>
  <c r="S13"/>
  <c r="S12"/>
  <c r="S11"/>
  <c r="S10"/>
  <c r="S9"/>
  <c r="S8"/>
  <c r="S7"/>
  <c r="S6"/>
  <c r="S5"/>
  <c r="R15"/>
  <c r="Q15"/>
  <c r="R14"/>
  <c r="Q14"/>
  <c r="R13"/>
  <c r="Q13"/>
  <c r="R12"/>
  <c r="Q12"/>
  <c r="R11"/>
  <c r="Q11"/>
  <c r="R10"/>
  <c r="Q10"/>
  <c r="R9"/>
  <c r="Q9"/>
  <c r="R8"/>
  <c r="Q8"/>
  <c r="R7"/>
  <c r="Q7"/>
  <c r="R6"/>
  <c r="Q6"/>
  <c r="R5"/>
  <c r="Q5"/>
  <c r="S3"/>
  <c r="Q3"/>
  <c r="C59"/>
  <c r="C55"/>
  <c r="C49" a="1"/>
  <c r="C49" s="1"/>
  <c r="D49"/>
  <c r="C50"/>
  <c r="E50"/>
  <c r="D51"/>
  <c r="C35" a="1"/>
  <c r="C35" s="1"/>
  <c r="D35"/>
  <c r="C36"/>
  <c r="E36"/>
  <c r="D37"/>
  <c r="F29"/>
  <c r="F15"/>
  <c r="F14"/>
  <c r="F13"/>
  <c r="F12"/>
  <c r="F11"/>
  <c r="F10"/>
  <c r="F9"/>
  <c r="F8"/>
  <c r="F7"/>
  <c r="F6"/>
  <c r="F5"/>
  <c r="E15"/>
  <c r="B15"/>
  <c r="C27" a="1"/>
  <c r="C27" s="1"/>
  <c r="C18" a="1"/>
  <c r="C18" s="1"/>
  <c r="C19"/>
  <c r="D20"/>
  <c r="D15"/>
  <c r="AQ79" i="10"/>
  <c r="AK58"/>
  <c r="AQ60" a="1"/>
  <c r="AL94"/>
  <c r="AK94"/>
  <c r="AM94" s="1"/>
  <c r="AI94"/>
  <c r="AL93"/>
  <c r="AK93"/>
  <c r="AM93" s="1"/>
  <c r="AI93"/>
  <c r="AL92"/>
  <c r="AK92"/>
  <c r="AM92" s="1"/>
  <c r="AI92"/>
  <c r="AL91"/>
  <c r="AK91"/>
  <c r="AM91" s="1"/>
  <c r="AI91"/>
  <c r="AL90"/>
  <c r="AK90"/>
  <c r="AM90" s="1"/>
  <c r="AI90"/>
  <c r="AL89"/>
  <c r="AK89"/>
  <c r="AM89" s="1"/>
  <c r="AI89"/>
  <c r="AL88"/>
  <c r="AK88"/>
  <c r="AM88" s="1"/>
  <c r="AI88"/>
  <c r="AL87"/>
  <c r="AK87"/>
  <c r="AM87" s="1"/>
  <c r="AI87"/>
  <c r="AL86"/>
  <c r="AK86"/>
  <c r="AM86" s="1"/>
  <c r="AI86"/>
  <c r="AL85"/>
  <c r="AK85"/>
  <c r="AM85" s="1"/>
  <c r="AI85"/>
  <c r="AL84"/>
  <c r="AK84"/>
  <c r="AM84" s="1"/>
  <c r="AI84"/>
  <c r="AL83"/>
  <c r="AK83"/>
  <c r="AM83" s="1"/>
  <c r="AI83"/>
  <c r="AL82"/>
  <c r="AK82"/>
  <c r="AM82" s="1"/>
  <c r="AI82"/>
  <c r="AL81"/>
  <c r="AK81"/>
  <c r="AM81" s="1"/>
  <c r="AI81"/>
  <c r="AL80"/>
  <c r="AK80"/>
  <c r="AM80" s="1"/>
  <c r="AI80"/>
  <c r="AL79"/>
  <c r="AK79"/>
  <c r="AM79" s="1"/>
  <c r="AI79"/>
  <c r="AL78"/>
  <c r="AK78"/>
  <c r="AM78" s="1"/>
  <c r="AI78"/>
  <c r="AL77"/>
  <c r="AK77"/>
  <c r="AM77" s="1"/>
  <c r="AI77"/>
  <c r="AL76"/>
  <c r="AK76"/>
  <c r="AM76" s="1"/>
  <c r="AI76"/>
  <c r="AL75"/>
  <c r="AK75"/>
  <c r="AM75" s="1"/>
  <c r="AI75"/>
  <c r="AL74"/>
  <c r="AK74"/>
  <c r="AM74" s="1"/>
  <c r="AI74"/>
  <c r="AL73"/>
  <c r="AK73"/>
  <c r="AM73" s="1"/>
  <c r="AI73"/>
  <c r="AL72"/>
  <c r="AK72"/>
  <c r="AM72" s="1"/>
  <c r="AI72"/>
  <c r="AL71"/>
  <c r="AK71"/>
  <c r="AM71" s="1"/>
  <c r="AI71"/>
  <c r="AL70"/>
  <c r="AK70"/>
  <c r="AM70" s="1"/>
  <c r="AI70"/>
  <c r="AL69"/>
  <c r="AK69"/>
  <c r="AM69" s="1"/>
  <c r="AI69"/>
  <c r="AL68"/>
  <c r="AK68"/>
  <c r="AM68" s="1"/>
  <c r="AI68"/>
  <c r="AL67"/>
  <c r="AK67"/>
  <c r="AM67" s="1"/>
  <c r="AI67"/>
  <c r="AL66"/>
  <c r="AK66"/>
  <c r="AM66" s="1"/>
  <c r="AI66"/>
  <c r="AL65"/>
  <c r="AK65"/>
  <c r="AM65" s="1"/>
  <c r="AI65"/>
  <c r="AL64"/>
  <c r="AK64"/>
  <c r="AM64" s="1"/>
  <c r="AI64"/>
  <c r="AL63"/>
  <c r="AK63"/>
  <c r="AM63" s="1"/>
  <c r="AI63"/>
  <c r="AL62"/>
  <c r="AK62"/>
  <c r="AM62" s="1"/>
  <c r="AI62"/>
  <c r="AL61"/>
  <c r="AK61"/>
  <c r="AM61" s="1"/>
  <c r="AI61"/>
  <c r="AL60"/>
  <c r="AK60"/>
  <c r="AM60" s="1"/>
  <c r="AI60"/>
  <c r="AL59"/>
  <c r="AK59"/>
  <c r="AM59" s="1"/>
  <c r="AI59"/>
  <c r="AL58"/>
  <c r="AM58"/>
  <c r="AQ50" s="1" a="1"/>
  <c r="AI58"/>
  <c r="AL57"/>
  <c r="AK57"/>
  <c r="AM57" s="1"/>
  <c r="AI57"/>
  <c r="AL56"/>
  <c r="AK56"/>
  <c r="AM56" s="1"/>
  <c r="AI56"/>
  <c r="AL55"/>
  <c r="AK55"/>
  <c r="AM55" s="1"/>
  <c r="AI55"/>
  <c r="AL54"/>
  <c r="AK54"/>
  <c r="AM54" s="1"/>
  <c r="AI54"/>
  <c r="AL53"/>
  <c r="AK53"/>
  <c r="AM53" s="1"/>
  <c r="AI53"/>
  <c r="AL52"/>
  <c r="AK52"/>
  <c r="AM52" s="1"/>
  <c r="AI52"/>
  <c r="AL51"/>
  <c r="AK51"/>
  <c r="AM51" s="1"/>
  <c r="AI51"/>
  <c r="AL50"/>
  <c r="AK50"/>
  <c r="AM50" s="1"/>
  <c r="AI50"/>
  <c r="AL49"/>
  <c r="AK49"/>
  <c r="AM49" s="1"/>
  <c r="AI49"/>
  <c r="AL48"/>
  <c r="AK48"/>
  <c r="AM48" s="1"/>
  <c r="AI48"/>
  <c r="AL47"/>
  <c r="AK47"/>
  <c r="AM47" s="1"/>
  <c r="AI47"/>
  <c r="AL46"/>
  <c r="AK46"/>
  <c r="AM46" s="1"/>
  <c r="AI46"/>
  <c r="AL45"/>
  <c r="AK45"/>
  <c r="AM45" s="1"/>
  <c r="AI45"/>
  <c r="AL44"/>
  <c r="AK44"/>
  <c r="AM44" s="1"/>
  <c r="AI44"/>
  <c r="AL43"/>
  <c r="AK43"/>
  <c r="AM43" s="1"/>
  <c r="AI43"/>
  <c r="AL42"/>
  <c r="AK42"/>
  <c r="AM42" s="1"/>
  <c r="AI42"/>
  <c r="AL41"/>
  <c r="AK41"/>
  <c r="AM41" s="1"/>
  <c r="AI41"/>
  <c r="AL40"/>
  <c r="AK40"/>
  <c r="AM40" s="1"/>
  <c r="AI40"/>
  <c r="AL39"/>
  <c r="AK39"/>
  <c r="AM39" s="1"/>
  <c r="AI39"/>
  <c r="AL38"/>
  <c r="AK38"/>
  <c r="AM38" s="1"/>
  <c r="AI38"/>
  <c r="AL37"/>
  <c r="AK37"/>
  <c r="AM37" s="1"/>
  <c r="AI37"/>
  <c r="AL36"/>
  <c r="AK36"/>
  <c r="AM36" s="1"/>
  <c r="AI36"/>
  <c r="AL35"/>
  <c r="AK35"/>
  <c r="AM35" s="1"/>
  <c r="AI35"/>
  <c r="AL34"/>
  <c r="AK34"/>
  <c r="AM34" s="1"/>
  <c r="AI34"/>
  <c r="AL33"/>
  <c r="AK33"/>
  <c r="AM33" s="1"/>
  <c r="AI33"/>
  <c r="AL32"/>
  <c r="AK32"/>
  <c r="AM32" s="1"/>
  <c r="AI32"/>
  <c r="AL31"/>
  <c r="AK31"/>
  <c r="AM31" s="1"/>
  <c r="AI31"/>
  <c r="AL30"/>
  <c r="AK30"/>
  <c r="AM30" s="1"/>
  <c r="AI30"/>
  <c r="AL29"/>
  <c r="AK29"/>
  <c r="AM29" s="1"/>
  <c r="AI29"/>
  <c r="AL28"/>
  <c r="AK28"/>
  <c r="AM28" s="1"/>
  <c r="AI28"/>
  <c r="AL27"/>
  <c r="AK27"/>
  <c r="AM27" s="1"/>
  <c r="AI27"/>
  <c r="AL26"/>
  <c r="AK26"/>
  <c r="AM26" s="1"/>
  <c r="AI26"/>
  <c r="AL25"/>
  <c r="AK25"/>
  <c r="AM25" s="1"/>
  <c r="AI25"/>
  <c r="AL24"/>
  <c r="AK24"/>
  <c r="AM24" s="1"/>
  <c r="AI24"/>
  <c r="AL23"/>
  <c r="AK23"/>
  <c r="AM23" s="1"/>
  <c r="AI23"/>
  <c r="AL22"/>
  <c r="AK22"/>
  <c r="AM22" s="1"/>
  <c r="AI22"/>
  <c r="AL21"/>
  <c r="AK21"/>
  <c r="AM21" s="1"/>
  <c r="AI21"/>
  <c r="AL20"/>
  <c r="AK20"/>
  <c r="AM20" s="1"/>
  <c r="AI20"/>
  <c r="AL19"/>
  <c r="AK19"/>
  <c r="AM19" s="1"/>
  <c r="AI19"/>
  <c r="AL18"/>
  <c r="AK18"/>
  <c r="AM18" s="1"/>
  <c r="AI18"/>
  <c r="AL17"/>
  <c r="AK17"/>
  <c r="AM17" s="1"/>
  <c r="AI17"/>
  <c r="AL16"/>
  <c r="AK16"/>
  <c r="AM16" s="1"/>
  <c r="AI16"/>
  <c r="AL15"/>
  <c r="AK15"/>
  <c r="AM15" s="1"/>
  <c r="AI15"/>
  <c r="AL14"/>
  <c r="AK14"/>
  <c r="AM14" s="1"/>
  <c r="AI14"/>
  <c r="AL13"/>
  <c r="AK13"/>
  <c r="AM13" s="1"/>
  <c r="AI13"/>
  <c r="AL12"/>
  <c r="AK12"/>
  <c r="AM12" s="1"/>
  <c r="AI12"/>
  <c r="AL11"/>
  <c r="AK11"/>
  <c r="AM11" s="1"/>
  <c r="AI11"/>
  <c r="AL10"/>
  <c r="AK10"/>
  <c r="AM10" s="1"/>
  <c r="AI10"/>
  <c r="AL9"/>
  <c r="AK9"/>
  <c r="AM9" s="1"/>
  <c r="AI9"/>
  <c r="AL8"/>
  <c r="AK8"/>
  <c r="AM8" s="1"/>
  <c r="AI8"/>
  <c r="AL7"/>
  <c r="AK7"/>
  <c r="AM7" s="1"/>
  <c r="AI7"/>
  <c r="AL6"/>
  <c r="AK6"/>
  <c r="AM6" s="1"/>
  <c r="AI6"/>
  <c r="AM5"/>
  <c r="AL5"/>
  <c r="AK5"/>
  <c r="AI5"/>
  <c r="Z49" a="1"/>
  <c r="Z50" s="1"/>
  <c r="Z40" a="1"/>
  <c r="AB42" s="1"/>
  <c r="V94"/>
  <c r="U94"/>
  <c r="S94"/>
  <c r="V93"/>
  <c r="U93"/>
  <c r="S93"/>
  <c r="V92"/>
  <c r="U92"/>
  <c r="S92"/>
  <c r="V91"/>
  <c r="U91"/>
  <c r="S91"/>
  <c r="V90"/>
  <c r="U90"/>
  <c r="S90"/>
  <c r="V89"/>
  <c r="U89"/>
  <c r="S89"/>
  <c r="V88"/>
  <c r="U88"/>
  <c r="S88"/>
  <c r="V87"/>
  <c r="U87"/>
  <c r="S87"/>
  <c r="V86"/>
  <c r="U86"/>
  <c r="S86"/>
  <c r="V85"/>
  <c r="U85"/>
  <c r="S85"/>
  <c r="V84"/>
  <c r="U84"/>
  <c r="S84"/>
  <c r="V83"/>
  <c r="U83"/>
  <c r="S83"/>
  <c r="V82"/>
  <c r="U82"/>
  <c r="S82"/>
  <c r="V81"/>
  <c r="U81"/>
  <c r="S81"/>
  <c r="V80"/>
  <c r="U80"/>
  <c r="S80"/>
  <c r="V79"/>
  <c r="U79"/>
  <c r="S79"/>
  <c r="V78"/>
  <c r="U78"/>
  <c r="S78"/>
  <c r="V77"/>
  <c r="U77"/>
  <c r="S77"/>
  <c r="V76"/>
  <c r="U76"/>
  <c r="S76"/>
  <c r="V75"/>
  <c r="U75"/>
  <c r="S75"/>
  <c r="V74"/>
  <c r="U74"/>
  <c r="S74"/>
  <c r="V73"/>
  <c r="U73"/>
  <c r="S73"/>
  <c r="V72"/>
  <c r="U72"/>
  <c r="S72"/>
  <c r="V71"/>
  <c r="U71"/>
  <c r="S71"/>
  <c r="V70"/>
  <c r="U70"/>
  <c r="S70"/>
  <c r="V69"/>
  <c r="U69"/>
  <c r="S69"/>
  <c r="V68"/>
  <c r="U68"/>
  <c r="S68"/>
  <c r="V67"/>
  <c r="U67"/>
  <c r="S67"/>
  <c r="V66"/>
  <c r="U66"/>
  <c r="S66"/>
  <c r="V65"/>
  <c r="U65"/>
  <c r="S65"/>
  <c r="V64"/>
  <c r="U64"/>
  <c r="S64"/>
  <c r="V63"/>
  <c r="U63"/>
  <c r="S63"/>
  <c r="V62"/>
  <c r="U62"/>
  <c r="S62"/>
  <c r="V61"/>
  <c r="U61"/>
  <c r="S61"/>
  <c r="V60"/>
  <c r="U60"/>
  <c r="S60"/>
  <c r="V59"/>
  <c r="U59"/>
  <c r="S59"/>
  <c r="V58"/>
  <c r="U58"/>
  <c r="S58"/>
  <c r="V57"/>
  <c r="U57"/>
  <c r="S57"/>
  <c r="V56"/>
  <c r="U56"/>
  <c r="S56"/>
  <c r="V55"/>
  <c r="U55"/>
  <c r="S55"/>
  <c r="V54"/>
  <c r="U54"/>
  <c r="S54"/>
  <c r="V53"/>
  <c r="U53"/>
  <c r="S53"/>
  <c r="V52"/>
  <c r="U52"/>
  <c r="S52"/>
  <c r="V51"/>
  <c r="U51"/>
  <c r="S51"/>
  <c r="V50"/>
  <c r="U50"/>
  <c r="S50"/>
  <c r="V49"/>
  <c r="U49"/>
  <c r="S49"/>
  <c r="V48"/>
  <c r="U48"/>
  <c r="S48"/>
  <c r="V47"/>
  <c r="U47"/>
  <c r="S47"/>
  <c r="V46"/>
  <c r="U46"/>
  <c r="S46"/>
  <c r="V45"/>
  <c r="U45"/>
  <c r="S45"/>
  <c r="V44"/>
  <c r="U44"/>
  <c r="S44"/>
  <c r="V43"/>
  <c r="U43"/>
  <c r="S43"/>
  <c r="V42"/>
  <c r="U42"/>
  <c r="S42"/>
  <c r="V41"/>
  <c r="U41"/>
  <c r="S41"/>
  <c r="V40"/>
  <c r="U40"/>
  <c r="S40"/>
  <c r="V39"/>
  <c r="U39"/>
  <c r="S39"/>
  <c r="V38"/>
  <c r="U38"/>
  <c r="S38"/>
  <c r="V37"/>
  <c r="U37"/>
  <c r="S37"/>
  <c r="V36"/>
  <c r="U36"/>
  <c r="S36"/>
  <c r="V35"/>
  <c r="U35"/>
  <c r="S35"/>
  <c r="V34"/>
  <c r="U34"/>
  <c r="S34"/>
  <c r="V33"/>
  <c r="U33"/>
  <c r="S33"/>
  <c r="V32"/>
  <c r="U32"/>
  <c r="S32"/>
  <c r="V31"/>
  <c r="U31"/>
  <c r="S31"/>
  <c r="V30"/>
  <c r="U30"/>
  <c r="S30"/>
  <c r="V29"/>
  <c r="U29"/>
  <c r="S29"/>
  <c r="V28"/>
  <c r="U28"/>
  <c r="S28"/>
  <c r="V27"/>
  <c r="U27"/>
  <c r="S27"/>
  <c r="V26"/>
  <c r="U26"/>
  <c r="S26"/>
  <c r="V25"/>
  <c r="U25"/>
  <c r="S25"/>
  <c r="V24"/>
  <c r="U24"/>
  <c r="S24"/>
  <c r="V23"/>
  <c r="U23"/>
  <c r="S23"/>
  <c r="V22"/>
  <c r="U22"/>
  <c r="S22"/>
  <c r="V21"/>
  <c r="U21"/>
  <c r="S21"/>
  <c r="V20"/>
  <c r="U20"/>
  <c r="S20"/>
  <c r="V19"/>
  <c r="U19"/>
  <c r="S19"/>
  <c r="V18"/>
  <c r="U18"/>
  <c r="S18"/>
  <c r="V17"/>
  <c r="U17"/>
  <c r="S17"/>
  <c r="V16"/>
  <c r="U16"/>
  <c r="S16"/>
  <c r="V15"/>
  <c r="U15"/>
  <c r="S15"/>
  <c r="V14"/>
  <c r="U14"/>
  <c r="S14"/>
  <c r="V13"/>
  <c r="U13"/>
  <c r="S13"/>
  <c r="V12"/>
  <c r="U12"/>
  <c r="S12"/>
  <c r="V11"/>
  <c r="U11"/>
  <c r="S11"/>
  <c r="V10"/>
  <c r="U10"/>
  <c r="S10"/>
  <c r="V9"/>
  <c r="U9"/>
  <c r="S9"/>
  <c r="V8"/>
  <c r="U8"/>
  <c r="S8"/>
  <c r="V7"/>
  <c r="U7"/>
  <c r="S7"/>
  <c r="V6"/>
  <c r="U6"/>
  <c r="S6"/>
  <c r="U5"/>
  <c r="S5"/>
  <c r="V5"/>
  <c r="K69" a="1"/>
  <c r="K69" s="1"/>
  <c r="K59" a="1"/>
  <c r="K59" s="1"/>
  <c r="L59"/>
  <c r="K60"/>
  <c r="M60"/>
  <c r="L61"/>
  <c r="K67" a="1"/>
  <c r="K67" s="1"/>
  <c r="N51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K54" a="1"/>
  <c r="K54" s="1"/>
  <c r="K55"/>
  <c r="K45" a="1"/>
  <c r="K45" s="1"/>
  <c r="L45"/>
  <c r="K46"/>
  <c r="M46"/>
  <c r="L47"/>
  <c r="K49" a="1"/>
  <c r="K49" s="1"/>
  <c r="K40" a="1"/>
  <c r="K40" s="1"/>
  <c r="Y67" i="8"/>
  <c r="Y66" a="1"/>
  <c r="Y66" s="1"/>
  <c r="Y6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AB53"/>
  <c r="Y52" a="1"/>
  <c r="Y53" s="1"/>
  <c r="Y46" a="1"/>
  <c r="Y47" s="1"/>
  <c r="M69"/>
  <c r="M66" a="1"/>
  <c r="M66" s="1"/>
  <c r="M67"/>
  <c r="M65"/>
  <c r="M59" a="1"/>
  <c r="M59" s="1"/>
  <c r="N59"/>
  <c r="N60"/>
  <c r="M52" a="1"/>
  <c r="M52" s="1"/>
  <c r="M53"/>
  <c r="M46" a="1"/>
  <c r="M46" s="1"/>
  <c r="J83" i="6" a="1"/>
  <c r="J83" s="1"/>
  <c r="K85"/>
  <c r="J79" a="1"/>
  <c r="J79" s="1"/>
  <c r="J80"/>
  <c r="J65" a="1"/>
  <c r="J65" s="1"/>
  <c r="J64"/>
  <c r="J66" a="1"/>
  <c r="J66" s="1"/>
  <c r="J55" a="1"/>
  <c r="J55" s="1"/>
  <c r="K55"/>
  <c r="M55"/>
  <c r="K56"/>
  <c r="M56"/>
  <c r="K57"/>
  <c r="M57"/>
  <c r="K58"/>
  <c r="M58"/>
  <c r="M17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J22" a="1"/>
  <c r="J22" s="1"/>
  <c r="J23"/>
  <c r="J25"/>
  <c r="J16" a="1"/>
  <c r="J16" s="1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J5" a="1"/>
  <c r="J5" s="1"/>
  <c r="T58" i="5" a="1"/>
  <c r="T58" s="1"/>
  <c r="U59"/>
  <c r="Q79"/>
  <c r="O79"/>
  <c r="Q78"/>
  <c r="O78"/>
  <c r="Q77"/>
  <c r="O77"/>
  <c r="Q76"/>
  <c r="O76"/>
  <c r="Q75"/>
  <c r="O75"/>
  <c r="Q74"/>
  <c r="O74"/>
  <c r="Q73"/>
  <c r="O73"/>
  <c r="Q72"/>
  <c r="O72"/>
  <c r="Q71"/>
  <c r="O71"/>
  <c r="Q70"/>
  <c r="O70"/>
  <c r="Q69"/>
  <c r="O69"/>
  <c r="Q68"/>
  <c r="O68"/>
  <c r="Q67"/>
  <c r="O67"/>
  <c r="Q66"/>
  <c r="O66"/>
  <c r="Q65"/>
  <c r="O65"/>
  <c r="Q64"/>
  <c r="O64"/>
  <c r="Q63"/>
  <c r="O63"/>
  <c r="Q62"/>
  <c r="O62"/>
  <c r="Q61"/>
  <c r="O61"/>
  <c r="Q60"/>
  <c r="O60"/>
  <c r="Q59"/>
  <c r="O59"/>
  <c r="Q58"/>
  <c r="O58"/>
  <c r="Q57"/>
  <c r="O57"/>
  <c r="Q56"/>
  <c r="O56"/>
  <c r="Q55"/>
  <c r="O55"/>
  <c r="Q54"/>
  <c r="O54"/>
  <c r="Q53"/>
  <c r="O53"/>
  <c r="Q52"/>
  <c r="O52"/>
  <c r="Q51"/>
  <c r="O51"/>
  <c r="Q50"/>
  <c r="O50"/>
  <c r="Q49"/>
  <c r="O49"/>
  <c r="Q48"/>
  <c r="O48"/>
  <c r="Q47"/>
  <c r="O47"/>
  <c r="Q46"/>
  <c r="O46"/>
  <c r="Q45"/>
  <c r="O45"/>
  <c r="Q44"/>
  <c r="O44"/>
  <c r="Q43"/>
  <c r="O43"/>
  <c r="Q42"/>
  <c r="O42"/>
  <c r="Q41"/>
  <c r="O41"/>
  <c r="Q40"/>
  <c r="O40"/>
  <c r="Q39"/>
  <c r="O39"/>
  <c r="Q38"/>
  <c r="O38"/>
  <c r="Q37"/>
  <c r="O37"/>
  <c r="Q36"/>
  <c r="O36"/>
  <c r="Q35"/>
  <c r="O35"/>
  <c r="Q34"/>
  <c r="O34"/>
  <c r="Q33"/>
  <c r="O33"/>
  <c r="Q32"/>
  <c r="O32"/>
  <c r="Q31"/>
  <c r="O31"/>
  <c r="Q30"/>
  <c r="O30"/>
  <c r="Q29"/>
  <c r="O29"/>
  <c r="Q28"/>
  <c r="O28"/>
  <c r="Q27"/>
  <c r="O27"/>
  <c r="Q26"/>
  <c r="O26"/>
  <c r="Q25"/>
  <c r="O25"/>
  <c r="Q24"/>
  <c r="O24"/>
  <c r="Q23"/>
  <c r="O23"/>
  <c r="Q22"/>
  <c r="O22"/>
  <c r="Q21"/>
  <c r="O21"/>
  <c r="Q20"/>
  <c r="O20"/>
  <c r="Q19"/>
  <c r="O19"/>
  <c r="Q18"/>
  <c r="O18"/>
  <c r="Q17"/>
  <c r="O17"/>
  <c r="Q16"/>
  <c r="O16"/>
  <c r="Q15"/>
  <c r="O15"/>
  <c r="Q14"/>
  <c r="O14"/>
  <c r="Q13"/>
  <c r="O13"/>
  <c r="Q12"/>
  <c r="O12"/>
  <c r="Q11"/>
  <c r="O11"/>
  <c r="Q10"/>
  <c r="O10"/>
  <c r="Q9"/>
  <c r="O9"/>
  <c r="Q8"/>
  <c r="O8"/>
  <c r="Q7"/>
  <c r="O7"/>
  <c r="Q6"/>
  <c r="O6"/>
  <c r="Q5"/>
  <c r="O5"/>
  <c r="T64" s="1" a="1"/>
  <c r="T39" a="1"/>
  <c r="T39" s="1"/>
  <c r="M79"/>
  <c r="K79"/>
  <c r="M78"/>
  <c r="K78"/>
  <c r="M77"/>
  <c r="K77"/>
  <c r="M76"/>
  <c r="K76"/>
  <c r="M75"/>
  <c r="K75"/>
  <c r="M74"/>
  <c r="K74"/>
  <c r="M73"/>
  <c r="K73"/>
  <c r="M72"/>
  <c r="K72"/>
  <c r="M71"/>
  <c r="K71"/>
  <c r="M70"/>
  <c r="K70"/>
  <c r="M69"/>
  <c r="K69"/>
  <c r="M68"/>
  <c r="K68"/>
  <c r="M67"/>
  <c r="K67"/>
  <c r="M66"/>
  <c r="K66"/>
  <c r="M65"/>
  <c r="K65"/>
  <c r="M64"/>
  <c r="K64"/>
  <c r="M63"/>
  <c r="K63"/>
  <c r="M62"/>
  <c r="K62"/>
  <c r="M61"/>
  <c r="K61"/>
  <c r="M60"/>
  <c r="K60"/>
  <c r="M59"/>
  <c r="K59"/>
  <c r="M58"/>
  <c r="K58"/>
  <c r="M57"/>
  <c r="K57"/>
  <c r="M56"/>
  <c r="K56"/>
  <c r="M55"/>
  <c r="K55"/>
  <c r="M54"/>
  <c r="K54"/>
  <c r="M53"/>
  <c r="K53"/>
  <c r="M52"/>
  <c r="K52"/>
  <c r="M51"/>
  <c r="K51"/>
  <c r="M50"/>
  <c r="K50"/>
  <c r="M49"/>
  <c r="K49"/>
  <c r="M48"/>
  <c r="K48"/>
  <c r="M47"/>
  <c r="K47"/>
  <c r="M46"/>
  <c r="K46"/>
  <c r="M45"/>
  <c r="K45"/>
  <c r="M44"/>
  <c r="K44"/>
  <c r="M43"/>
  <c r="K43"/>
  <c r="M42"/>
  <c r="K42"/>
  <c r="M41"/>
  <c r="K41"/>
  <c r="M40"/>
  <c r="K40"/>
  <c r="M39"/>
  <c r="K39"/>
  <c r="M38"/>
  <c r="K38"/>
  <c r="M37"/>
  <c r="K37"/>
  <c r="M36"/>
  <c r="K36"/>
  <c r="M35"/>
  <c r="K35"/>
  <c r="M34"/>
  <c r="K34"/>
  <c r="M33"/>
  <c r="K33"/>
  <c r="M32"/>
  <c r="K32"/>
  <c r="M31"/>
  <c r="K31"/>
  <c r="M30"/>
  <c r="K30"/>
  <c r="M29"/>
  <c r="K29"/>
  <c r="M28"/>
  <c r="K28"/>
  <c r="M27"/>
  <c r="K27"/>
  <c r="M26"/>
  <c r="K26"/>
  <c r="M25"/>
  <c r="K25"/>
  <c r="M24"/>
  <c r="K24"/>
  <c r="M23"/>
  <c r="K23"/>
  <c r="M22"/>
  <c r="K22"/>
  <c r="M21"/>
  <c r="K21"/>
  <c r="M20"/>
  <c r="K20"/>
  <c r="M19"/>
  <c r="K19"/>
  <c r="M18"/>
  <c r="K18"/>
  <c r="M17"/>
  <c r="K17"/>
  <c r="M16"/>
  <c r="K16"/>
  <c r="M15"/>
  <c r="K15"/>
  <c r="M14"/>
  <c r="K14"/>
  <c r="M13"/>
  <c r="K13"/>
  <c r="M12"/>
  <c r="K12"/>
  <c r="M11"/>
  <c r="K11"/>
  <c r="M10"/>
  <c r="K10"/>
  <c r="M9"/>
  <c r="K9"/>
  <c r="M8"/>
  <c r="K8"/>
  <c r="M7"/>
  <c r="K7"/>
  <c r="M6"/>
  <c r="K6"/>
  <c r="M5"/>
  <c r="K5"/>
  <c r="T45" s="1" a="1"/>
  <c r="T45" s="1"/>
  <c r="T23" a="1"/>
  <c r="T23" s="1"/>
  <c r="I79"/>
  <c r="G79"/>
  <c r="I78"/>
  <c r="G78"/>
  <c r="I77"/>
  <c r="G77"/>
  <c r="I76"/>
  <c r="G76"/>
  <c r="I75"/>
  <c r="G75"/>
  <c r="I74"/>
  <c r="G74"/>
  <c r="I73"/>
  <c r="G73"/>
  <c r="I72"/>
  <c r="G72"/>
  <c r="I71"/>
  <c r="G71"/>
  <c r="I70"/>
  <c r="G70"/>
  <c r="I69"/>
  <c r="G69"/>
  <c r="I68"/>
  <c r="G68"/>
  <c r="I67"/>
  <c r="G67"/>
  <c r="I66"/>
  <c r="G66"/>
  <c r="I65"/>
  <c r="G65"/>
  <c r="I64"/>
  <c r="G64"/>
  <c r="I63"/>
  <c r="G63"/>
  <c r="I62"/>
  <c r="G62"/>
  <c r="I61"/>
  <c r="G61"/>
  <c r="I60"/>
  <c r="G60"/>
  <c r="I59"/>
  <c r="G59"/>
  <c r="I58"/>
  <c r="G58"/>
  <c r="I57"/>
  <c r="G57"/>
  <c r="I56"/>
  <c r="G56"/>
  <c r="I55"/>
  <c r="G55"/>
  <c r="I54"/>
  <c r="G54"/>
  <c r="I53"/>
  <c r="G53"/>
  <c r="I52"/>
  <c r="G52"/>
  <c r="I51"/>
  <c r="G51"/>
  <c r="I50"/>
  <c r="G50"/>
  <c r="I49"/>
  <c r="G49"/>
  <c r="I48"/>
  <c r="G48"/>
  <c r="I47"/>
  <c r="G47"/>
  <c r="I46"/>
  <c r="G46"/>
  <c r="I45"/>
  <c r="G45"/>
  <c r="I44"/>
  <c r="G44"/>
  <c r="I43"/>
  <c r="G43"/>
  <c r="I42"/>
  <c r="G42"/>
  <c r="I41"/>
  <c r="G41"/>
  <c r="I40"/>
  <c r="G40"/>
  <c r="I39"/>
  <c r="G39"/>
  <c r="I38"/>
  <c r="G38"/>
  <c r="I37"/>
  <c r="G37"/>
  <c r="I36"/>
  <c r="G36"/>
  <c r="I35"/>
  <c r="G35"/>
  <c r="I34"/>
  <c r="G34"/>
  <c r="I33"/>
  <c r="G33"/>
  <c r="I32"/>
  <c r="G32"/>
  <c r="I31"/>
  <c r="G31"/>
  <c r="I30"/>
  <c r="G30"/>
  <c r="I29"/>
  <c r="G29"/>
  <c r="I28"/>
  <c r="G28"/>
  <c r="I27"/>
  <c r="G27"/>
  <c r="I26"/>
  <c r="G26"/>
  <c r="I25"/>
  <c r="G25"/>
  <c r="I24"/>
  <c r="G24"/>
  <c r="I23"/>
  <c r="G23"/>
  <c r="I22"/>
  <c r="G22"/>
  <c r="I21"/>
  <c r="G21"/>
  <c r="I20"/>
  <c r="G20"/>
  <c r="I19"/>
  <c r="G19"/>
  <c r="I18"/>
  <c r="G18"/>
  <c r="I17"/>
  <c r="G17"/>
  <c r="I16"/>
  <c r="G16"/>
  <c r="I15"/>
  <c r="G15"/>
  <c r="I14"/>
  <c r="G14"/>
  <c r="I13"/>
  <c r="G13"/>
  <c r="I12"/>
  <c r="G12"/>
  <c r="I11"/>
  <c r="G11"/>
  <c r="I10"/>
  <c r="G10"/>
  <c r="I9"/>
  <c r="G9"/>
  <c r="I8"/>
  <c r="G8"/>
  <c r="I7"/>
  <c r="G7"/>
  <c r="I6"/>
  <c r="G6"/>
  <c r="I5"/>
  <c r="G5"/>
  <c r="T29" s="1" a="1"/>
  <c r="T29" s="1"/>
  <c r="T10" a="1"/>
  <c r="T10" s="1"/>
  <c r="T4" a="1"/>
  <c r="T4" s="1"/>
  <c r="P70" i="4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71" s="1"/>
  <c r="R71"/>
  <c r="X21"/>
  <c r="X14" a="1"/>
  <c r="X14" s="1"/>
  <c r="X8" a="1"/>
  <c r="X8" s="1"/>
  <c r="F70"/>
  <c r="J70" s="1"/>
  <c r="E70"/>
  <c r="H70" s="1"/>
  <c r="B70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"/>
  <c r="B6"/>
  <c r="A7" i="3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6"/>
  <c r="A7" i="2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6"/>
  <c r="F69" i="4"/>
  <c r="J69" s="1"/>
  <c r="E69"/>
  <c r="H69" s="1"/>
  <c r="F68"/>
  <c r="J68" s="1"/>
  <c r="E68"/>
  <c r="H68" s="1"/>
  <c r="F67"/>
  <c r="J67" s="1"/>
  <c r="E67"/>
  <c r="H67" s="1"/>
  <c r="F66"/>
  <c r="J66" s="1"/>
  <c r="E66"/>
  <c r="H66" s="1"/>
  <c r="F65"/>
  <c r="J65" s="1"/>
  <c r="E65"/>
  <c r="H65" s="1"/>
  <c r="F64"/>
  <c r="J64" s="1"/>
  <c r="E64"/>
  <c r="H64" s="1"/>
  <c r="F63"/>
  <c r="J63" s="1"/>
  <c r="E63"/>
  <c r="H63" s="1"/>
  <c r="F62"/>
  <c r="J62" s="1"/>
  <c r="E62"/>
  <c r="H62" s="1"/>
  <c r="F61"/>
  <c r="J61" s="1"/>
  <c r="E61"/>
  <c r="H61" s="1"/>
  <c r="F60"/>
  <c r="J60" s="1"/>
  <c r="E60"/>
  <c r="H60" s="1"/>
  <c r="F59"/>
  <c r="J59" s="1"/>
  <c r="E59"/>
  <c r="H59" s="1"/>
  <c r="F58"/>
  <c r="J58" s="1"/>
  <c r="E58"/>
  <c r="H58" s="1"/>
  <c r="F57"/>
  <c r="J57" s="1"/>
  <c r="E57"/>
  <c r="H57" s="1"/>
  <c r="F56"/>
  <c r="J56" s="1"/>
  <c r="E56"/>
  <c r="H56" s="1"/>
  <c r="F55"/>
  <c r="J55" s="1"/>
  <c r="E55"/>
  <c r="H55" s="1"/>
  <c r="F54"/>
  <c r="J54" s="1"/>
  <c r="E54"/>
  <c r="H54" s="1"/>
  <c r="F53"/>
  <c r="J53" s="1"/>
  <c r="E53"/>
  <c r="H53" s="1"/>
  <c r="F52"/>
  <c r="J52" s="1"/>
  <c r="E52"/>
  <c r="H52" s="1"/>
  <c r="F51"/>
  <c r="J51" s="1"/>
  <c r="E51"/>
  <c r="H51" s="1"/>
  <c r="F50"/>
  <c r="J50" s="1"/>
  <c r="E50"/>
  <c r="H50" s="1"/>
  <c r="F49"/>
  <c r="J49" s="1"/>
  <c r="E49"/>
  <c r="H49" s="1"/>
  <c r="F48"/>
  <c r="J48" s="1"/>
  <c r="E48"/>
  <c r="H48" s="1"/>
  <c r="F47"/>
  <c r="J47" s="1"/>
  <c r="E47"/>
  <c r="H47" s="1"/>
  <c r="F46"/>
  <c r="J46" s="1"/>
  <c r="E46"/>
  <c r="H46" s="1"/>
  <c r="F45"/>
  <c r="J45" s="1"/>
  <c r="E45"/>
  <c r="H45" s="1"/>
  <c r="F44"/>
  <c r="J44" s="1"/>
  <c r="E44"/>
  <c r="H44" s="1"/>
  <c r="F43"/>
  <c r="J43" s="1"/>
  <c r="E43"/>
  <c r="H43" s="1"/>
  <c r="F42"/>
  <c r="J42" s="1"/>
  <c r="E42"/>
  <c r="H42" s="1"/>
  <c r="F41"/>
  <c r="J41" s="1"/>
  <c r="E41"/>
  <c r="H41" s="1"/>
  <c r="F40"/>
  <c r="J40" s="1"/>
  <c r="E40"/>
  <c r="H40" s="1"/>
  <c r="F39"/>
  <c r="J39" s="1"/>
  <c r="E39"/>
  <c r="H39" s="1"/>
  <c r="F38"/>
  <c r="J38" s="1"/>
  <c r="E38"/>
  <c r="H38" s="1"/>
  <c r="F37"/>
  <c r="J37" s="1"/>
  <c r="E37"/>
  <c r="H37" s="1"/>
  <c r="F36"/>
  <c r="J36" s="1"/>
  <c r="E36"/>
  <c r="H36" s="1"/>
  <c r="F35"/>
  <c r="J35" s="1"/>
  <c r="E35"/>
  <c r="H35" s="1"/>
  <c r="F34"/>
  <c r="J34" s="1"/>
  <c r="E34"/>
  <c r="H34" s="1"/>
  <c r="F33"/>
  <c r="J33" s="1"/>
  <c r="E33"/>
  <c r="H33" s="1"/>
  <c r="F32"/>
  <c r="J32" s="1"/>
  <c r="E32"/>
  <c r="H32" s="1"/>
  <c r="F31"/>
  <c r="J31" s="1"/>
  <c r="E31"/>
  <c r="H31" s="1"/>
  <c r="F30"/>
  <c r="J30" s="1"/>
  <c r="E30"/>
  <c r="H30" s="1"/>
  <c r="F29"/>
  <c r="J29" s="1"/>
  <c r="E29"/>
  <c r="H29" s="1"/>
  <c r="F28"/>
  <c r="J28" s="1"/>
  <c r="E28"/>
  <c r="H28" s="1"/>
  <c r="F27"/>
  <c r="J27" s="1"/>
  <c r="E27"/>
  <c r="H27" s="1"/>
  <c r="F26"/>
  <c r="J26" s="1"/>
  <c r="E26"/>
  <c r="H26" s="1"/>
  <c r="F25"/>
  <c r="J25" s="1"/>
  <c r="E25"/>
  <c r="H25" s="1"/>
  <c r="F24"/>
  <c r="J24" s="1"/>
  <c r="E24"/>
  <c r="H24" s="1"/>
  <c r="F23"/>
  <c r="J23" s="1"/>
  <c r="E23"/>
  <c r="H23" s="1"/>
  <c r="F22"/>
  <c r="J22" s="1"/>
  <c r="E22"/>
  <c r="H22" s="1"/>
  <c r="F21"/>
  <c r="J21" s="1"/>
  <c r="E21"/>
  <c r="H21" s="1"/>
  <c r="F20"/>
  <c r="J20" s="1"/>
  <c r="E20"/>
  <c r="H20" s="1"/>
  <c r="F19"/>
  <c r="J19" s="1"/>
  <c r="E19"/>
  <c r="H19" s="1"/>
  <c r="F18"/>
  <c r="J18" s="1"/>
  <c r="E18"/>
  <c r="H18" s="1"/>
  <c r="F17"/>
  <c r="J17" s="1"/>
  <c r="E17"/>
  <c r="H17" s="1"/>
  <c r="F16"/>
  <c r="J16" s="1"/>
  <c r="E16"/>
  <c r="H16" s="1"/>
  <c r="F15"/>
  <c r="J15" s="1"/>
  <c r="E15"/>
  <c r="H15" s="1"/>
  <c r="F14"/>
  <c r="J14" s="1"/>
  <c r="E14"/>
  <c r="H14" s="1"/>
  <c r="F13"/>
  <c r="J13" s="1"/>
  <c r="E13"/>
  <c r="H13" s="1"/>
  <c r="F12"/>
  <c r="J12" s="1"/>
  <c r="E12"/>
  <c r="H12" s="1"/>
  <c r="F11"/>
  <c r="J11" s="1"/>
  <c r="E11"/>
  <c r="H11" s="1"/>
  <c r="F10"/>
  <c r="J10" s="1"/>
  <c r="E10"/>
  <c r="H10" s="1"/>
  <c r="F9"/>
  <c r="J9" s="1"/>
  <c r="E9"/>
  <c r="H9" s="1"/>
  <c r="F8"/>
  <c r="J8" s="1"/>
  <c r="E8"/>
  <c r="H8" s="1"/>
  <c r="F7"/>
  <c r="J7" s="1"/>
  <c r="E7"/>
  <c r="H7" s="1"/>
  <c r="F6"/>
  <c r="J6" s="1"/>
  <c r="F5"/>
  <c r="E5"/>
  <c r="E6"/>
  <c r="H6" s="1"/>
  <c r="L15" i="1"/>
  <c r="K15"/>
  <c r="K13" i="3" a="1"/>
  <c r="K13" s="1"/>
  <c r="K7" a="1"/>
  <c r="K7" s="1"/>
  <c r="K12" i="1"/>
  <c r="K6"/>
  <c r="K4"/>
  <c r="T15" i="2"/>
  <c r="S15"/>
  <c r="R15"/>
  <c r="H34" i="20" l="1"/>
  <c r="L15" i="17" a="1"/>
  <c r="P19" s="1"/>
  <c r="AA47"/>
  <c r="Q12" i="21"/>
  <c r="Q20" a="1"/>
  <c r="L12" i="20"/>
  <c r="M12"/>
  <c r="M11"/>
  <c r="L19" i="17"/>
  <c r="N17"/>
  <c r="P15"/>
  <c r="M19"/>
  <c r="O17"/>
  <c r="L16"/>
  <c r="N19"/>
  <c r="P17"/>
  <c r="M16"/>
  <c r="O19"/>
  <c r="L18"/>
  <c r="N16"/>
  <c r="AG19"/>
  <c r="AE19"/>
  <c r="AH18"/>
  <c r="AF18"/>
  <c r="AD18"/>
  <c r="AG17"/>
  <c r="AE17"/>
  <c r="AH16"/>
  <c r="AF16"/>
  <c r="AD16"/>
  <c r="AG15"/>
  <c r="AE15"/>
  <c r="AH19"/>
  <c r="AF19"/>
  <c r="AD19"/>
  <c r="AG18"/>
  <c r="AE18"/>
  <c r="AH17"/>
  <c r="AF17"/>
  <c r="AD17"/>
  <c r="AG16"/>
  <c r="AE16"/>
  <c r="AH15"/>
  <c r="AF15"/>
  <c r="AD15"/>
  <c r="L46" i="16"/>
  <c r="R9" a="1"/>
  <c r="P10" i="13"/>
  <c r="Q14"/>
  <c r="R13"/>
  <c r="S12"/>
  <c r="T11"/>
  <c r="P11"/>
  <c r="Q10"/>
  <c r="R14"/>
  <c r="S13"/>
  <c r="T12"/>
  <c r="P12"/>
  <c r="Q11"/>
  <c r="R10"/>
  <c r="S14"/>
  <c r="T13"/>
  <c r="P13"/>
  <c r="Q12"/>
  <c r="R11"/>
  <c r="S10"/>
  <c r="T14"/>
  <c r="P14"/>
  <c r="Q13"/>
  <c r="R12"/>
  <c r="S11"/>
  <c r="T10"/>
  <c r="Q46" i="14"/>
  <c r="O46"/>
  <c r="M46"/>
  <c r="P45"/>
  <c r="N45"/>
  <c r="Q44"/>
  <c r="O44"/>
  <c r="M44"/>
  <c r="P43"/>
  <c r="N43"/>
  <c r="Q42"/>
  <c r="O42"/>
  <c r="M42"/>
  <c r="P46"/>
  <c r="N46"/>
  <c r="Q45"/>
  <c r="O45"/>
  <c r="M45"/>
  <c r="P44"/>
  <c r="N44"/>
  <c r="Q43"/>
  <c r="O43"/>
  <c r="M43"/>
  <c r="P42"/>
  <c r="N42"/>
  <c r="Q16"/>
  <c r="O16"/>
  <c r="M16"/>
  <c r="P15"/>
  <c r="N15"/>
  <c r="Q14"/>
  <c r="O14"/>
  <c r="M14"/>
  <c r="P13"/>
  <c r="N13"/>
  <c r="Q12"/>
  <c r="O12"/>
  <c r="M12"/>
  <c r="P16"/>
  <c r="N16"/>
  <c r="Q15"/>
  <c r="O15"/>
  <c r="M15"/>
  <c r="P14"/>
  <c r="N14"/>
  <c r="Q13"/>
  <c r="O13"/>
  <c r="M13"/>
  <c r="P12"/>
  <c r="N12"/>
  <c r="AD50" i="12"/>
  <c r="AG50" s="1"/>
  <c r="AD52"/>
  <c r="AG52" s="1"/>
  <c r="AD54"/>
  <c r="AG54" s="1"/>
  <c r="AM56"/>
  <c r="AM58"/>
  <c r="AM82"/>
  <c r="AM84"/>
  <c r="AM86"/>
  <c r="AM88"/>
  <c r="AM90"/>
  <c r="AD56"/>
  <c r="AG56" s="1"/>
  <c r="AK58"/>
  <c r="AD58"/>
  <c r="AG58" s="1"/>
  <c r="AK60"/>
  <c r="AD60"/>
  <c r="AG60" s="1"/>
  <c r="AK62"/>
  <c r="AD62"/>
  <c r="AG62" s="1"/>
  <c r="AK64"/>
  <c r="AD64"/>
  <c r="AG64" s="1"/>
  <c r="AK66"/>
  <c r="AD66"/>
  <c r="AG66" s="1"/>
  <c r="AK68"/>
  <c r="AD68"/>
  <c r="AG68" s="1"/>
  <c r="AK70"/>
  <c r="AD70"/>
  <c r="AG70" s="1"/>
  <c r="AK72"/>
  <c r="AD72"/>
  <c r="AG72" s="1"/>
  <c r="AK74"/>
  <c r="AD74"/>
  <c r="AG74" s="1"/>
  <c r="AK76"/>
  <c r="AD76"/>
  <c r="AG76" s="1"/>
  <c r="AK78"/>
  <c r="AD78"/>
  <c r="AG78" s="1"/>
  <c r="AK80"/>
  <c r="AD80"/>
  <c r="AG80" s="1"/>
  <c r="AK82"/>
  <c r="AD82"/>
  <c r="AG82" s="1"/>
  <c r="AK84"/>
  <c r="AD84"/>
  <c r="AG84" s="1"/>
  <c r="AK86"/>
  <c r="AD86"/>
  <c r="AG86" s="1"/>
  <c r="AK88"/>
  <c r="AD88"/>
  <c r="AG88" s="1"/>
  <c r="AK90"/>
  <c r="AD90"/>
  <c r="AG90" s="1"/>
  <c r="AM91"/>
  <c r="AM4"/>
  <c r="AM5"/>
  <c r="AM7"/>
  <c r="AM9"/>
  <c r="AM11"/>
  <c r="AM13"/>
  <c r="AM15"/>
  <c r="AM17"/>
  <c r="AM19"/>
  <c r="AM21"/>
  <c r="AM23"/>
  <c r="AM25"/>
  <c r="AM27"/>
  <c r="AM29"/>
  <c r="AM31"/>
  <c r="AM33"/>
  <c r="AM35"/>
  <c r="AM37"/>
  <c r="AM40"/>
  <c r="AM42"/>
  <c r="AM44"/>
  <c r="AK91"/>
  <c r="AD91"/>
  <c r="AJ91" s="1"/>
  <c r="AF91"/>
  <c r="AH91"/>
  <c r="AI91"/>
  <c r="AF4"/>
  <c r="AK6"/>
  <c r="AK8"/>
  <c r="AK10"/>
  <c r="AK12"/>
  <c r="AK14"/>
  <c r="AK16"/>
  <c r="AK18"/>
  <c r="AK20"/>
  <c r="AK22"/>
  <c r="AK24"/>
  <c r="AK26"/>
  <c r="AK28"/>
  <c r="AK30"/>
  <c r="AK32"/>
  <c r="AK34"/>
  <c r="AK36"/>
  <c r="AK38"/>
  <c r="AM39"/>
  <c r="AI41"/>
  <c r="AI43"/>
  <c r="L16" a="1"/>
  <c r="L16" s="1"/>
  <c r="AD4"/>
  <c r="AI4"/>
  <c r="AD5"/>
  <c r="AN5" s="1"/>
  <c r="AM6"/>
  <c r="AD7"/>
  <c r="AN7" s="1"/>
  <c r="AM8"/>
  <c r="AD9"/>
  <c r="AN9" s="1"/>
  <c r="AM10"/>
  <c r="AD11"/>
  <c r="AN11" s="1"/>
  <c r="AM12"/>
  <c r="AJ13"/>
  <c r="AD13"/>
  <c r="AN13" s="1"/>
  <c r="AM14"/>
  <c r="AD15"/>
  <c r="AN15" s="1"/>
  <c r="AM16"/>
  <c r="AD17"/>
  <c r="AN17" s="1"/>
  <c r="AM18"/>
  <c r="AD19"/>
  <c r="AN19" s="1"/>
  <c r="AM20"/>
  <c r="AD21"/>
  <c r="AN21" s="1"/>
  <c r="AM22"/>
  <c r="AD23"/>
  <c r="AN23" s="1"/>
  <c r="AM24"/>
  <c r="AD25"/>
  <c r="AN25" s="1"/>
  <c r="AM26"/>
  <c r="AD27"/>
  <c r="AN27" s="1"/>
  <c r="AM28"/>
  <c r="AJ29"/>
  <c r="AD29"/>
  <c r="AN29" s="1"/>
  <c r="AM30"/>
  <c r="AD31"/>
  <c r="AN31" s="1"/>
  <c r="AM32"/>
  <c r="AD33"/>
  <c r="AN33" s="1"/>
  <c r="AM34"/>
  <c r="AD35"/>
  <c r="AN35" s="1"/>
  <c r="AM36"/>
  <c r="AD37"/>
  <c r="AN37" s="1"/>
  <c r="AM38"/>
  <c r="AJ39"/>
  <c r="AD40"/>
  <c r="AJ41"/>
  <c r="AD42"/>
  <c r="AJ43"/>
  <c r="AD44"/>
  <c r="AJ45"/>
  <c r="AJ47"/>
  <c r="AJ49"/>
  <c r="AJ51"/>
  <c r="AJ53"/>
  <c r="AJ55"/>
  <c r="AJ57"/>
  <c r="AJ59"/>
  <c r="AJ61"/>
  <c r="AJ63"/>
  <c r="AJ65"/>
  <c r="AJ67"/>
  <c r="AJ69"/>
  <c r="AJ71"/>
  <c r="AJ73"/>
  <c r="AJ75"/>
  <c r="AJ77"/>
  <c r="AJ79"/>
  <c r="AJ81"/>
  <c r="AJ83"/>
  <c r="AJ85"/>
  <c r="AJ87"/>
  <c r="AJ89"/>
  <c r="AK40"/>
  <c r="AI40"/>
  <c r="AN41"/>
  <c r="AL41"/>
  <c r="AK42"/>
  <c r="AI42"/>
  <c r="AN43"/>
  <c r="AL43"/>
  <c r="AK44"/>
  <c r="AI44"/>
  <c r="AN45"/>
  <c r="AL45"/>
  <c r="AG45"/>
  <c r="AN47"/>
  <c r="AL47"/>
  <c r="AG47"/>
  <c r="AN49"/>
  <c r="AL49"/>
  <c r="AG49"/>
  <c r="AN51"/>
  <c r="AL51"/>
  <c r="AG51"/>
  <c r="AN53"/>
  <c r="AL53"/>
  <c r="AG53"/>
  <c r="AN55"/>
  <c r="AL55"/>
  <c r="AG55"/>
  <c r="AN57"/>
  <c r="AL57"/>
  <c r="AG57"/>
  <c r="AN59"/>
  <c r="AL59"/>
  <c r="AG59"/>
  <c r="AN61"/>
  <c r="AL61"/>
  <c r="AG61"/>
  <c r="AN63"/>
  <c r="AL63"/>
  <c r="AG63"/>
  <c r="AN65"/>
  <c r="AL65"/>
  <c r="AG65"/>
  <c r="AN67"/>
  <c r="AL67"/>
  <c r="AG67"/>
  <c r="AN69"/>
  <c r="AL69"/>
  <c r="AG69"/>
  <c r="AN71"/>
  <c r="AL71"/>
  <c r="AG71"/>
  <c r="AN73"/>
  <c r="AL73"/>
  <c r="AG73"/>
  <c r="AN75"/>
  <c r="AL75"/>
  <c r="AG75"/>
  <c r="AN77"/>
  <c r="AL77"/>
  <c r="AG77"/>
  <c r="AN79"/>
  <c r="AL79"/>
  <c r="AG79"/>
  <c r="AN81"/>
  <c r="AL81"/>
  <c r="AG81"/>
  <c r="AN83"/>
  <c r="AL83"/>
  <c r="AG83"/>
  <c r="AN85"/>
  <c r="AL85"/>
  <c r="AG85"/>
  <c r="AN87"/>
  <c r="AL87"/>
  <c r="AG87"/>
  <c r="AN89"/>
  <c r="AL89"/>
  <c r="AG89"/>
  <c r="AG5"/>
  <c r="AI5"/>
  <c r="AK5"/>
  <c r="AD6"/>
  <c r="AJ6" s="1"/>
  <c r="AF6"/>
  <c r="AH6"/>
  <c r="AG7"/>
  <c r="AI7"/>
  <c r="AK7"/>
  <c r="AD8"/>
  <c r="AF8"/>
  <c r="AH8"/>
  <c r="AI9"/>
  <c r="AK9"/>
  <c r="AD10"/>
  <c r="AJ10" s="1"/>
  <c r="AF10"/>
  <c r="AH10"/>
  <c r="AI11"/>
  <c r="AK11"/>
  <c r="AD12"/>
  <c r="AF12"/>
  <c r="AH12"/>
  <c r="AG13"/>
  <c r="AI13"/>
  <c r="AK13"/>
  <c r="AD14"/>
  <c r="AJ14" s="1"/>
  <c r="AF14"/>
  <c r="AH14"/>
  <c r="AG15"/>
  <c r="AI15"/>
  <c r="AK15"/>
  <c r="AD16"/>
  <c r="AF16"/>
  <c r="AH16"/>
  <c r="AI17"/>
  <c r="AK17"/>
  <c r="AD18"/>
  <c r="AJ18" s="1"/>
  <c r="AF18"/>
  <c r="AH18"/>
  <c r="AI19"/>
  <c r="AK19"/>
  <c r="AD20"/>
  <c r="AF20"/>
  <c r="AH20"/>
  <c r="AG21"/>
  <c r="AI21"/>
  <c r="AK21"/>
  <c r="AD22"/>
  <c r="AJ22" s="1"/>
  <c r="AF22"/>
  <c r="AH22"/>
  <c r="AG23"/>
  <c r="AI23"/>
  <c r="AK23"/>
  <c r="AD24"/>
  <c r="AF24"/>
  <c r="AH24"/>
  <c r="AI25"/>
  <c r="AK25"/>
  <c r="AD26"/>
  <c r="AJ26" s="1"/>
  <c r="AF26"/>
  <c r="AH26"/>
  <c r="AI27"/>
  <c r="AK27"/>
  <c r="AD28"/>
  <c r="AF28"/>
  <c r="AH28"/>
  <c r="AG29"/>
  <c r="AI29"/>
  <c r="AK29"/>
  <c r="AD30"/>
  <c r="AJ30" s="1"/>
  <c r="AF30"/>
  <c r="AH30"/>
  <c r="AG31"/>
  <c r="AI31"/>
  <c r="AK31"/>
  <c r="AD32"/>
  <c r="AF32"/>
  <c r="AH32"/>
  <c r="AI33"/>
  <c r="AK33"/>
  <c r="AD34"/>
  <c r="AJ34" s="1"/>
  <c r="AF34"/>
  <c r="AH34"/>
  <c r="AI35"/>
  <c r="AK35"/>
  <c r="AD36"/>
  <c r="AF36"/>
  <c r="AH36"/>
  <c r="AG37"/>
  <c r="AI37"/>
  <c r="AK37"/>
  <c r="AD38"/>
  <c r="AJ38" s="1"/>
  <c r="AF38"/>
  <c r="AH38"/>
  <c r="AI39"/>
  <c r="AK39"/>
  <c r="AF40"/>
  <c r="AN40"/>
  <c r="AG41"/>
  <c r="AK41"/>
  <c r="AF42"/>
  <c r="AJ42"/>
  <c r="AG43"/>
  <c r="AK43"/>
  <c r="AF44"/>
  <c r="AN44"/>
  <c r="AN39"/>
  <c r="AL39"/>
  <c r="AF5"/>
  <c r="AI6"/>
  <c r="AF7"/>
  <c r="AI8"/>
  <c r="AF9"/>
  <c r="AI10"/>
  <c r="AF11"/>
  <c r="AI12"/>
  <c r="AF13"/>
  <c r="AL13"/>
  <c r="AI14"/>
  <c r="AF15"/>
  <c r="AI16"/>
  <c r="AF17"/>
  <c r="AI18"/>
  <c r="AF19"/>
  <c r="AI20"/>
  <c r="AF21"/>
  <c r="AI22"/>
  <c r="AF23"/>
  <c r="AI24"/>
  <c r="AF25"/>
  <c r="AI26"/>
  <c r="AF27"/>
  <c r="AI28"/>
  <c r="AF29"/>
  <c r="AL29"/>
  <c r="AI30"/>
  <c r="AF31"/>
  <c r="AI32"/>
  <c r="AF33"/>
  <c r="AI34"/>
  <c r="AF35"/>
  <c r="AI36"/>
  <c r="AF37"/>
  <c r="AI38"/>
  <c r="AF39"/>
  <c r="AM41"/>
  <c r="AM43"/>
  <c r="AI45"/>
  <c r="AK45"/>
  <c r="AM45"/>
  <c r="AF46"/>
  <c r="AJ46"/>
  <c r="AL46"/>
  <c r="AN46"/>
  <c r="AI47"/>
  <c r="AK47"/>
  <c r="AM47"/>
  <c r="AF48"/>
  <c r="AJ48"/>
  <c r="AL48"/>
  <c r="AN48"/>
  <c r="AI49"/>
  <c r="AK49"/>
  <c r="AM49"/>
  <c r="AF50"/>
  <c r="AJ50"/>
  <c r="AL50"/>
  <c r="AN50"/>
  <c r="AI51"/>
  <c r="AK51"/>
  <c r="AM51"/>
  <c r="AF52"/>
  <c r="AJ52"/>
  <c r="AL52"/>
  <c r="AN52"/>
  <c r="AI53"/>
  <c r="AK53"/>
  <c r="AM53"/>
  <c r="AF54"/>
  <c r="AJ54"/>
  <c r="AL54"/>
  <c r="AN54"/>
  <c r="AI55"/>
  <c r="AK55"/>
  <c r="AM55"/>
  <c r="AF56"/>
  <c r="AJ56"/>
  <c r="AL56"/>
  <c r="AN56"/>
  <c r="AI57"/>
  <c r="AK57"/>
  <c r="AM57"/>
  <c r="AF58"/>
  <c r="AJ58"/>
  <c r="AL58"/>
  <c r="AN58"/>
  <c r="AI59"/>
  <c r="AK59"/>
  <c r="AM59"/>
  <c r="AF60"/>
  <c r="AJ60"/>
  <c r="AL60"/>
  <c r="AN60"/>
  <c r="AI61"/>
  <c r="AK61"/>
  <c r="AM61"/>
  <c r="AF62"/>
  <c r="AJ62"/>
  <c r="AL62"/>
  <c r="AN62"/>
  <c r="AI63"/>
  <c r="AK63"/>
  <c r="AM63"/>
  <c r="AF64"/>
  <c r="AJ64"/>
  <c r="AL64"/>
  <c r="AN64"/>
  <c r="AI65"/>
  <c r="AK65"/>
  <c r="AM65"/>
  <c r="AF66"/>
  <c r="AJ66"/>
  <c r="AL66"/>
  <c r="AN66"/>
  <c r="AI67"/>
  <c r="AK67"/>
  <c r="AM67"/>
  <c r="AF68"/>
  <c r="AJ68"/>
  <c r="AL68"/>
  <c r="AN68"/>
  <c r="AI69"/>
  <c r="AK69"/>
  <c r="AM69"/>
  <c r="AF70"/>
  <c r="AJ70"/>
  <c r="AL70"/>
  <c r="AN70"/>
  <c r="AI71"/>
  <c r="AK71"/>
  <c r="AM71"/>
  <c r="AF72"/>
  <c r="AJ72"/>
  <c r="AL72"/>
  <c r="AN72"/>
  <c r="AI73"/>
  <c r="AK73"/>
  <c r="AM73"/>
  <c r="AF74"/>
  <c r="AJ74"/>
  <c r="AL74"/>
  <c r="AN74"/>
  <c r="AI75"/>
  <c r="AK75"/>
  <c r="AM75"/>
  <c r="AF76"/>
  <c r="AJ76"/>
  <c r="AL76"/>
  <c r="AN76"/>
  <c r="AI77"/>
  <c r="AK77"/>
  <c r="AM77"/>
  <c r="AF78"/>
  <c r="AJ78"/>
  <c r="AL78"/>
  <c r="AN78"/>
  <c r="AI79"/>
  <c r="AK79"/>
  <c r="AM79"/>
  <c r="AF80"/>
  <c r="AJ80"/>
  <c r="AL80"/>
  <c r="AN80"/>
  <c r="AI81"/>
  <c r="AK81"/>
  <c r="AM81"/>
  <c r="AF82"/>
  <c r="AJ82"/>
  <c r="AL82"/>
  <c r="AN82"/>
  <c r="AI83"/>
  <c r="AK83"/>
  <c r="AM83"/>
  <c r="AF84"/>
  <c r="AJ84"/>
  <c r="AL84"/>
  <c r="AN84"/>
  <c r="AI85"/>
  <c r="AK85"/>
  <c r="AM85"/>
  <c r="AF86"/>
  <c r="AJ86"/>
  <c r="AL86"/>
  <c r="AN86"/>
  <c r="AI87"/>
  <c r="AK87"/>
  <c r="AM87"/>
  <c r="AF88"/>
  <c r="AJ88"/>
  <c r="AL88"/>
  <c r="AN88"/>
  <c r="AI89"/>
  <c r="AK89"/>
  <c r="AM89"/>
  <c r="AF90"/>
  <c r="AJ90"/>
  <c r="AL90"/>
  <c r="AN90"/>
  <c r="AF41"/>
  <c r="AF43"/>
  <c r="AF45"/>
  <c r="AI46"/>
  <c r="AF47"/>
  <c r="AI48"/>
  <c r="AF49"/>
  <c r="AI50"/>
  <c r="AF51"/>
  <c r="AI52"/>
  <c r="AF53"/>
  <c r="AI54"/>
  <c r="AF55"/>
  <c r="AI56"/>
  <c r="AF57"/>
  <c r="AI58"/>
  <c r="AF59"/>
  <c r="AI60"/>
  <c r="AF61"/>
  <c r="AI62"/>
  <c r="AF63"/>
  <c r="AI64"/>
  <c r="AF65"/>
  <c r="AI66"/>
  <c r="AF67"/>
  <c r="AI68"/>
  <c r="AF69"/>
  <c r="AI70"/>
  <c r="AF71"/>
  <c r="AI72"/>
  <c r="AF73"/>
  <c r="AI74"/>
  <c r="AF75"/>
  <c r="AI76"/>
  <c r="AF77"/>
  <c r="AI78"/>
  <c r="AF79"/>
  <c r="AI80"/>
  <c r="AF81"/>
  <c r="AI82"/>
  <c r="AF83"/>
  <c r="AI84"/>
  <c r="AF85"/>
  <c r="AI86"/>
  <c r="AF87"/>
  <c r="AI88"/>
  <c r="AF89"/>
  <c r="AI90"/>
  <c r="L19"/>
  <c r="L4" a="1"/>
  <c r="L4" s="1"/>
  <c r="L18"/>
  <c r="E51" i="11"/>
  <c r="C51"/>
  <c r="D50"/>
  <c r="E49"/>
  <c r="E37"/>
  <c r="C37"/>
  <c r="D36"/>
  <c r="E35"/>
  <c r="F16"/>
  <c r="E19"/>
  <c r="D18"/>
  <c r="C23" s="1" a="1"/>
  <c r="C28"/>
  <c r="C29"/>
  <c r="E20"/>
  <c r="C20"/>
  <c r="D19"/>
  <c r="E18"/>
  <c r="AQ50" i="10"/>
  <c r="AQ53"/>
  <c r="AQ40" a="1"/>
  <c r="AQ40" s="1"/>
  <c r="AQ51"/>
  <c r="AQ52"/>
  <c r="AA40"/>
  <c r="Z41"/>
  <c r="AB41"/>
  <c r="AA42"/>
  <c r="Z40"/>
  <c r="Z45" s="1" a="1"/>
  <c r="AB40"/>
  <c r="AA41"/>
  <c r="Z42"/>
  <c r="Z49"/>
  <c r="Z51"/>
  <c r="M61"/>
  <c r="K61"/>
  <c r="L60"/>
  <c r="M59"/>
  <c r="K68" s="1" a="1"/>
  <c r="K68" s="1"/>
  <c r="K56"/>
  <c r="M47"/>
  <c r="K47"/>
  <c r="L46"/>
  <c r="M45"/>
  <c r="K50"/>
  <c r="K51"/>
  <c r="L42"/>
  <c r="M41"/>
  <c r="K41"/>
  <c r="L40"/>
  <c r="M42"/>
  <c r="K42"/>
  <c r="L41"/>
  <c r="M40"/>
  <c r="Y69" i="8"/>
  <c r="Z46"/>
  <c r="Z47"/>
  <c r="Y46"/>
  <c r="Y49" s="1" a="1"/>
  <c r="Y52"/>
  <c r="M60"/>
  <c r="N47"/>
  <c r="N46"/>
  <c r="M47"/>
  <c r="M49" a="1"/>
  <c r="J84" i="6"/>
  <c r="L84"/>
  <c r="K83"/>
  <c r="L85"/>
  <c r="J85"/>
  <c r="K84"/>
  <c r="L83"/>
  <c r="J81"/>
  <c r="J87" s="1" a="1"/>
  <c r="J68"/>
  <c r="L58"/>
  <c r="J58"/>
  <c r="L57"/>
  <c r="J57"/>
  <c r="L56"/>
  <c r="J56"/>
  <c r="L55"/>
  <c r="J24"/>
  <c r="J19"/>
  <c r="J17"/>
  <c r="J18"/>
  <c r="M8"/>
  <c r="K8"/>
  <c r="M7"/>
  <c r="K7"/>
  <c r="M6"/>
  <c r="K6"/>
  <c r="M5"/>
  <c r="K5"/>
  <c r="J11" s="1" a="1"/>
  <c r="L8"/>
  <c r="J8"/>
  <c r="L7"/>
  <c r="J7"/>
  <c r="L6"/>
  <c r="J6"/>
  <c r="L5"/>
  <c r="T64" i="5"/>
  <c r="T65"/>
  <c r="U58"/>
  <c r="T59"/>
  <c r="T61" s="1" a="1"/>
  <c r="T46"/>
  <c r="U40"/>
  <c r="U39"/>
  <c r="T40"/>
  <c r="T42" a="1"/>
  <c r="T30"/>
  <c r="U24"/>
  <c r="U23"/>
  <c r="T24"/>
  <c r="T26" s="1" a="1"/>
  <c r="T11"/>
  <c r="U5"/>
  <c r="U4"/>
  <c r="T5"/>
  <c r="T7" a="1"/>
  <c r="X15" i="4"/>
  <c r="Y9"/>
  <c r="Y8"/>
  <c r="X9"/>
  <c r="X11" s="1" a="1"/>
  <c r="K14" i="3"/>
  <c r="L8"/>
  <c r="L7"/>
  <c r="K10" s="1" a="1"/>
  <c r="K8"/>
  <c r="O15" i="17" l="1"/>
  <c r="M17"/>
  <c r="P18"/>
  <c r="N15"/>
  <c r="L17"/>
  <c r="O18"/>
  <c r="M15"/>
  <c r="P16"/>
  <c r="N18"/>
  <c r="L15"/>
  <c r="O16"/>
  <c r="M18"/>
  <c r="Q20" i="21"/>
  <c r="Q21"/>
  <c r="L22" i="20" a="1"/>
  <c r="L22" s="1"/>
  <c r="AD27" i="17" a="1"/>
  <c r="AD30" s="1"/>
  <c r="R9" i="16"/>
  <c r="R10"/>
  <c r="S11"/>
  <c r="S9"/>
  <c r="T10"/>
  <c r="R11"/>
  <c r="T9"/>
  <c r="T11"/>
  <c r="S10"/>
  <c r="P25" i="13" a="1"/>
  <c r="M54" i="14" a="1"/>
  <c r="M24" a="1"/>
  <c r="L20" i="12"/>
  <c r="L17"/>
  <c r="AL37"/>
  <c r="AL21"/>
  <c r="AL5"/>
  <c r="AJ37"/>
  <c r="AJ21"/>
  <c r="AJ5"/>
  <c r="AL33"/>
  <c r="AL25"/>
  <c r="AL17"/>
  <c r="AL9"/>
  <c r="AG35"/>
  <c r="AG33"/>
  <c r="AG27"/>
  <c r="AG25"/>
  <c r="AG19"/>
  <c r="AG17"/>
  <c r="AG11"/>
  <c r="AG9"/>
  <c r="AJ33"/>
  <c r="AJ25"/>
  <c r="AJ17"/>
  <c r="AJ9"/>
  <c r="AG91"/>
  <c r="AN91"/>
  <c r="AL91"/>
  <c r="AG44"/>
  <c r="AL44"/>
  <c r="AG42"/>
  <c r="AL42"/>
  <c r="AG40"/>
  <c r="AL40"/>
  <c r="AG4"/>
  <c r="AN4"/>
  <c r="AL4"/>
  <c r="AJ4"/>
  <c r="AL35"/>
  <c r="AL31"/>
  <c r="AL27"/>
  <c r="AL23"/>
  <c r="AL19"/>
  <c r="AL15"/>
  <c r="AL11"/>
  <c r="AL7"/>
  <c r="AJ44"/>
  <c r="AN42"/>
  <c r="AJ40"/>
  <c r="AJ35"/>
  <c r="AJ31"/>
  <c r="AJ27"/>
  <c r="AJ23"/>
  <c r="AJ19"/>
  <c r="AJ15"/>
  <c r="AJ11"/>
  <c r="AJ7"/>
  <c r="AG38"/>
  <c r="AN38"/>
  <c r="AL38"/>
  <c r="AG36"/>
  <c r="AN36"/>
  <c r="AL36"/>
  <c r="AG34"/>
  <c r="AN34"/>
  <c r="AL34"/>
  <c r="AG32"/>
  <c r="AN32"/>
  <c r="AL32"/>
  <c r="AG30"/>
  <c r="AN30"/>
  <c r="AL30"/>
  <c r="AG28"/>
  <c r="AN28"/>
  <c r="AL28"/>
  <c r="AG26"/>
  <c r="AN26"/>
  <c r="AL26"/>
  <c r="AG24"/>
  <c r="AN24"/>
  <c r="AL24"/>
  <c r="AG22"/>
  <c r="AN22"/>
  <c r="AL22"/>
  <c r="AG20"/>
  <c r="AN20"/>
  <c r="AL20"/>
  <c r="AG18"/>
  <c r="AN18"/>
  <c r="AL18"/>
  <c r="AG16"/>
  <c r="AN16"/>
  <c r="AL16"/>
  <c r="AG14"/>
  <c r="AN14"/>
  <c r="AL14"/>
  <c r="AG12"/>
  <c r="AN12"/>
  <c r="AL12"/>
  <c r="AG10"/>
  <c r="AN10"/>
  <c r="AL10"/>
  <c r="AG8"/>
  <c r="AN8"/>
  <c r="AL8"/>
  <c r="AG6"/>
  <c r="AN6"/>
  <c r="AL6"/>
  <c r="AJ36"/>
  <c r="AJ32"/>
  <c r="AJ28"/>
  <c r="AJ24"/>
  <c r="AJ20"/>
  <c r="AJ16"/>
  <c r="AJ12"/>
  <c r="AJ8"/>
  <c r="N4"/>
  <c r="M5"/>
  <c r="L6"/>
  <c r="P6"/>
  <c r="O7"/>
  <c r="N8"/>
  <c r="M4"/>
  <c r="L5"/>
  <c r="P5"/>
  <c r="O6"/>
  <c r="N7"/>
  <c r="M8"/>
  <c r="P4"/>
  <c r="O5"/>
  <c r="N6"/>
  <c r="M7"/>
  <c r="L8"/>
  <c r="P8"/>
  <c r="O4"/>
  <c r="N5"/>
  <c r="M6"/>
  <c r="L7"/>
  <c r="P7"/>
  <c r="O8"/>
  <c r="C23" i="11"/>
  <c r="D23"/>
  <c r="E24"/>
  <c r="C24"/>
  <c r="D25"/>
  <c r="C25"/>
  <c r="E23"/>
  <c r="E25"/>
  <c r="D24"/>
  <c r="C31" a="1"/>
  <c r="C32" s="1"/>
  <c r="AS40" i="10"/>
  <c r="AS41"/>
  <c r="AS42"/>
  <c r="AS43"/>
  <c r="AT40"/>
  <c r="AT41"/>
  <c r="AT42"/>
  <c r="AT43"/>
  <c r="AQ41"/>
  <c r="AQ42"/>
  <c r="AQ43"/>
  <c r="AR40"/>
  <c r="AQ45" s="1" a="1"/>
  <c r="AR41"/>
  <c r="AR42"/>
  <c r="AR43"/>
  <c r="AB46"/>
  <c r="Z46"/>
  <c r="AA45"/>
  <c r="AB47"/>
  <c r="Z47"/>
  <c r="AA46"/>
  <c r="AB45"/>
  <c r="Z45"/>
  <c r="Z54" s="1" a="1"/>
  <c r="AA47"/>
  <c r="Z50" i="8"/>
  <c r="Z49"/>
  <c r="Y50"/>
  <c r="Y49"/>
  <c r="M50"/>
  <c r="M49"/>
  <c r="N50"/>
  <c r="N49"/>
  <c r="J87" i="6"/>
  <c r="K87"/>
  <c r="L87"/>
  <c r="J11"/>
  <c r="M12"/>
  <c r="M14"/>
  <c r="K12"/>
  <c r="K14"/>
  <c r="J14"/>
  <c r="J13"/>
  <c r="J12"/>
  <c r="M11"/>
  <c r="M13"/>
  <c r="K11"/>
  <c r="K13"/>
  <c r="L14"/>
  <c r="L13"/>
  <c r="L12"/>
  <c r="L11"/>
  <c r="T62" i="5"/>
  <c r="T61"/>
  <c r="U62"/>
  <c r="U61"/>
  <c r="T43"/>
  <c r="T42"/>
  <c r="U43"/>
  <c r="U42"/>
  <c r="U27"/>
  <c r="U26"/>
  <c r="T27"/>
  <c r="T26"/>
  <c r="T33" s="1" a="1"/>
  <c r="U8"/>
  <c r="U7"/>
  <c r="T8"/>
  <c r="T7"/>
  <c r="T14" s="1" a="1"/>
  <c r="Y12" i="4"/>
  <c r="Y11"/>
  <c r="X12"/>
  <c r="X11"/>
  <c r="X18" s="1" a="1"/>
  <c r="K10" i="3"/>
  <c r="L11"/>
  <c r="K11"/>
  <c r="L10"/>
  <c r="K17" s="1" a="1"/>
  <c r="K17" s="1"/>
  <c r="L27" i="17" l="1" a="1"/>
  <c r="E8" i="21"/>
  <c r="E10"/>
  <c r="E9"/>
  <c r="L23" i="20"/>
  <c r="F31" s="1"/>
  <c r="AD29" i="17"/>
  <c r="AD28"/>
  <c r="AD27"/>
  <c r="Z39" s="1"/>
  <c r="AD31"/>
  <c r="Z23"/>
  <c r="Z18"/>
  <c r="Z13"/>
  <c r="Z45"/>
  <c r="Z24"/>
  <c r="Z40"/>
  <c r="R17" i="16" a="1"/>
  <c r="P25" i="13"/>
  <c r="Q33" s="1"/>
  <c r="R33" s="1"/>
  <c r="S25"/>
  <c r="R26"/>
  <c r="Q27"/>
  <c r="P28"/>
  <c r="T28"/>
  <c r="S29"/>
  <c r="Q25"/>
  <c r="P26"/>
  <c r="T26"/>
  <c r="S27"/>
  <c r="R28"/>
  <c r="Q29"/>
  <c r="R29"/>
  <c r="S28"/>
  <c r="Q36" s="1"/>
  <c r="R36" s="1"/>
  <c r="T27"/>
  <c r="P27"/>
  <c r="Q26"/>
  <c r="Q34" s="1"/>
  <c r="R34" s="1"/>
  <c r="R25"/>
  <c r="T29"/>
  <c r="Q37" s="1"/>
  <c r="R37" s="1"/>
  <c r="P29"/>
  <c r="Q28"/>
  <c r="R27"/>
  <c r="Q35" s="1"/>
  <c r="R35" s="1"/>
  <c r="S26"/>
  <c r="T25"/>
  <c r="M58" i="14"/>
  <c r="M56"/>
  <c r="M54"/>
  <c r="M57"/>
  <c r="M55"/>
  <c r="M28"/>
  <c r="M26"/>
  <c r="M24"/>
  <c r="M27"/>
  <c r="M25"/>
  <c r="AS5" i="12" a="1"/>
  <c r="AS5" s="1"/>
  <c r="L10" a="1"/>
  <c r="M10" s="1"/>
  <c r="C33" i="11"/>
  <c r="C31"/>
  <c r="AQ45" i="10"/>
  <c r="AT46"/>
  <c r="AT48"/>
  <c r="AR46"/>
  <c r="AR48"/>
  <c r="AQ48"/>
  <c r="AQ47"/>
  <c r="AQ46"/>
  <c r="AT45"/>
  <c r="AT47"/>
  <c r="AR45"/>
  <c r="AR47"/>
  <c r="AS48"/>
  <c r="AS47"/>
  <c r="AS46"/>
  <c r="AS45"/>
  <c r="Z56"/>
  <c r="Z54"/>
  <c r="Z55"/>
  <c r="Y56" i="8" a="1"/>
  <c r="Y59" a="1"/>
  <c r="M56" a="1"/>
  <c r="M56" s="1"/>
  <c r="J90" i="6" a="1"/>
  <c r="J90" s="1"/>
  <c r="T68" i="5" a="1"/>
  <c r="T68" s="1"/>
  <c r="T69"/>
  <c r="T49" a="1"/>
  <c r="T49" s="1"/>
  <c r="T50"/>
  <c r="T33"/>
  <c r="T34"/>
  <c r="T14"/>
  <c r="T15"/>
  <c r="X18" i="4"/>
  <c r="X19"/>
  <c r="K18" i="3"/>
  <c r="L30" i="17" l="1"/>
  <c r="L28"/>
  <c r="L31"/>
  <c r="L29"/>
  <c r="L27"/>
  <c r="Z9"/>
  <c r="Z32"/>
  <c r="Z16"/>
  <c r="Z29"/>
  <c r="Z34"/>
  <c r="Z42"/>
  <c r="Z15"/>
  <c r="F10" i="21"/>
  <c r="D51" s="1"/>
  <c r="C25"/>
  <c r="F9"/>
  <c r="C50" s="1"/>
  <c r="B23"/>
  <c r="I11"/>
  <c r="F8"/>
  <c r="E11"/>
  <c r="G24"/>
  <c r="C43" s="1"/>
  <c r="G31" i="20"/>
  <c r="I32"/>
  <c r="C40" s="1"/>
  <c r="B39"/>
  <c r="G39" s="1"/>
  <c r="C68" s="1"/>
  <c r="J33"/>
  <c r="D41" s="1"/>
  <c r="F30"/>
  <c r="F33"/>
  <c r="F32"/>
  <c r="Z37" i="17"/>
  <c r="Z21"/>
  <c r="Z26"/>
  <c r="Z10"/>
  <c r="Z31"/>
  <c r="Z11"/>
  <c r="Z44"/>
  <c r="Z36"/>
  <c r="Z28"/>
  <c r="Z20"/>
  <c r="Z12"/>
  <c r="Z41"/>
  <c r="Z33"/>
  <c r="Z25"/>
  <c r="Z17"/>
  <c r="Z46"/>
  <c r="Z38"/>
  <c r="Z30"/>
  <c r="Z22"/>
  <c r="Z14"/>
  <c r="Z43"/>
  <c r="Z35"/>
  <c r="Z27"/>
  <c r="Z19"/>
  <c r="R17" i="16"/>
  <c r="R18"/>
  <c r="R19"/>
  <c r="AU5" i="12"/>
  <c r="BC5"/>
  <c r="AW6"/>
  <c r="BE6"/>
  <c r="AY7"/>
  <c r="AS8"/>
  <c r="BA8"/>
  <c r="AU9"/>
  <c r="BC9"/>
  <c r="AW10"/>
  <c r="BE10"/>
  <c r="AY11"/>
  <c r="AS12"/>
  <c r="BA12"/>
  <c r="AU13"/>
  <c r="BC13"/>
  <c r="AW14"/>
  <c r="BE14"/>
  <c r="AY15"/>
  <c r="AS16"/>
  <c r="BA16"/>
  <c r="AU17"/>
  <c r="BC17"/>
  <c r="AW18"/>
  <c r="BE18"/>
  <c r="AZ5"/>
  <c r="AT6"/>
  <c r="BB6"/>
  <c r="AV7"/>
  <c r="BD7"/>
  <c r="AX8"/>
  <c r="BF8"/>
  <c r="AZ9"/>
  <c r="AT10"/>
  <c r="BB10"/>
  <c r="AV11"/>
  <c r="BD11"/>
  <c r="AX12"/>
  <c r="BF12"/>
  <c r="AZ13"/>
  <c r="AT14"/>
  <c r="BB14"/>
  <c r="AV15"/>
  <c r="BD15"/>
  <c r="AX16"/>
  <c r="BF16"/>
  <c r="AZ17"/>
  <c r="AT18"/>
  <c r="BB18"/>
  <c r="AW5"/>
  <c r="BE5"/>
  <c r="AY6"/>
  <c r="AS7"/>
  <c r="BA7"/>
  <c r="AU8"/>
  <c r="BC8"/>
  <c r="AW9"/>
  <c r="BE9"/>
  <c r="AY10"/>
  <c r="AS11"/>
  <c r="BA11"/>
  <c r="AU12"/>
  <c r="BC12"/>
  <c r="AW13"/>
  <c r="BE13"/>
  <c r="AY14"/>
  <c r="AS15"/>
  <c r="BA15"/>
  <c r="AU16"/>
  <c r="BC16"/>
  <c r="AW17"/>
  <c r="BE17"/>
  <c r="AY18"/>
  <c r="AT5"/>
  <c r="BB5"/>
  <c r="AV6"/>
  <c r="BD6"/>
  <c r="AX7"/>
  <c r="BF7"/>
  <c r="AZ8"/>
  <c r="AT9"/>
  <c r="BB9"/>
  <c r="AV10"/>
  <c r="BD10"/>
  <c r="AX11"/>
  <c r="BF11"/>
  <c r="AZ12"/>
  <c r="AT13"/>
  <c r="BB13"/>
  <c r="AV14"/>
  <c r="BD14"/>
  <c r="AX15"/>
  <c r="BF15"/>
  <c r="AZ16"/>
  <c r="AT17"/>
  <c r="BB17"/>
  <c r="AV18"/>
  <c r="BD18"/>
  <c r="AY5"/>
  <c r="AS6"/>
  <c r="BA6"/>
  <c r="AU7"/>
  <c r="BC7"/>
  <c r="AW8"/>
  <c r="BE8"/>
  <c r="AY9"/>
  <c r="AS10"/>
  <c r="BA10"/>
  <c r="AU11"/>
  <c r="BC11"/>
  <c r="AW12"/>
  <c r="BE12"/>
  <c r="AY13"/>
  <c r="AS14"/>
  <c r="BA14"/>
  <c r="AU15"/>
  <c r="BC15"/>
  <c r="AW16"/>
  <c r="BE16"/>
  <c r="AY17"/>
  <c r="AS18"/>
  <c r="BA18"/>
  <c r="AV5"/>
  <c r="BD5"/>
  <c r="AX6"/>
  <c r="BF6"/>
  <c r="AZ7"/>
  <c r="AT8"/>
  <c r="BB8"/>
  <c r="AV9"/>
  <c r="BD9"/>
  <c r="AX10"/>
  <c r="BF10"/>
  <c r="AZ11"/>
  <c r="AT12"/>
  <c r="BB12"/>
  <c r="AV13"/>
  <c r="BD13"/>
  <c r="AX14"/>
  <c r="BF14"/>
  <c r="AZ15"/>
  <c r="AT16"/>
  <c r="BB16"/>
  <c r="AV17"/>
  <c r="BD17"/>
  <c r="AX18"/>
  <c r="BF18"/>
  <c r="BA5"/>
  <c r="AU6"/>
  <c r="BC6"/>
  <c r="AW7"/>
  <c r="BE7"/>
  <c r="AY8"/>
  <c r="AS9"/>
  <c r="BA9"/>
  <c r="AU10"/>
  <c r="BC10"/>
  <c r="AW11"/>
  <c r="BE11"/>
  <c r="AY12"/>
  <c r="AS13"/>
  <c r="BA13"/>
  <c r="AU14"/>
  <c r="BC14"/>
  <c r="AW15"/>
  <c r="BE15"/>
  <c r="AY16"/>
  <c r="AS17"/>
  <c r="BA17"/>
  <c r="AU18"/>
  <c r="BC18"/>
  <c r="AX5"/>
  <c r="BF5"/>
  <c r="AZ6"/>
  <c r="AT7"/>
  <c r="BB7"/>
  <c r="AV8"/>
  <c r="BD8"/>
  <c r="AX9"/>
  <c r="BF9"/>
  <c r="AZ10"/>
  <c r="AT11"/>
  <c r="BB11"/>
  <c r="AV12"/>
  <c r="BD12"/>
  <c r="AX13"/>
  <c r="BF13"/>
  <c r="AZ14"/>
  <c r="AT15"/>
  <c r="BB15"/>
  <c r="AV16"/>
  <c r="BD16"/>
  <c r="AX17"/>
  <c r="BF17"/>
  <c r="AZ18"/>
  <c r="AS21" a="1"/>
  <c r="N10"/>
  <c r="L12"/>
  <c r="O13"/>
  <c r="P10"/>
  <c r="N12"/>
  <c r="L14"/>
  <c r="O14"/>
  <c r="L13"/>
  <c r="N11"/>
  <c r="M14"/>
  <c r="O12"/>
  <c r="L11"/>
  <c r="L10"/>
  <c r="M11"/>
  <c r="P12"/>
  <c r="N14"/>
  <c r="O11"/>
  <c r="M13"/>
  <c r="P14"/>
  <c r="P13"/>
  <c r="M12"/>
  <c r="O10"/>
  <c r="N13"/>
  <c r="P11"/>
  <c r="AQ55" i="10" a="1"/>
  <c r="W5"/>
  <c r="Z69" a="1"/>
  <c r="Z69" s="1"/>
  <c r="Z67" a="1"/>
  <c r="Z67" s="1"/>
  <c r="W9"/>
  <c r="W13"/>
  <c r="W17"/>
  <c r="W21"/>
  <c r="W25"/>
  <c r="W29"/>
  <c r="W33"/>
  <c r="W37"/>
  <c r="W41"/>
  <c r="W45"/>
  <c r="W49"/>
  <c r="W53"/>
  <c r="W57"/>
  <c r="W61"/>
  <c r="W65"/>
  <c r="W69"/>
  <c r="W73"/>
  <c r="W77"/>
  <c r="W81"/>
  <c r="W85"/>
  <c r="W89"/>
  <c r="W93"/>
  <c r="W8"/>
  <c r="W12"/>
  <c r="W16"/>
  <c r="W20"/>
  <c r="W24"/>
  <c r="W28"/>
  <c r="W32"/>
  <c r="W36"/>
  <c r="W40"/>
  <c r="W44"/>
  <c r="W48"/>
  <c r="W52"/>
  <c r="W56"/>
  <c r="W60"/>
  <c r="W64"/>
  <c r="W68"/>
  <c r="W72"/>
  <c r="W76"/>
  <c r="W80"/>
  <c r="W84"/>
  <c r="W88"/>
  <c r="W92"/>
  <c r="W75"/>
  <c r="W91"/>
  <c r="W6"/>
  <c r="W10"/>
  <c r="W14"/>
  <c r="W18"/>
  <c r="W22"/>
  <c r="W26"/>
  <c r="W30"/>
  <c r="W34"/>
  <c r="W38"/>
  <c r="W42"/>
  <c r="W46"/>
  <c r="W50"/>
  <c r="W54"/>
  <c r="W58"/>
  <c r="W62"/>
  <c r="W66"/>
  <c r="W70"/>
  <c r="W74"/>
  <c r="W78"/>
  <c r="W82"/>
  <c r="W86"/>
  <c r="W90"/>
  <c r="W94"/>
  <c r="W7"/>
  <c r="W11"/>
  <c r="W15"/>
  <c r="W19"/>
  <c r="W23"/>
  <c r="W27"/>
  <c r="W31"/>
  <c r="W35"/>
  <c r="W39"/>
  <c r="W43"/>
  <c r="W47"/>
  <c r="W51"/>
  <c r="W55"/>
  <c r="W59"/>
  <c r="W63"/>
  <c r="W67"/>
  <c r="W71"/>
  <c r="W79"/>
  <c r="W83"/>
  <c r="W87"/>
  <c r="Y57" i="8"/>
  <c r="Y56"/>
  <c r="Y60"/>
  <c r="Y59"/>
  <c r="Z60"/>
  <c r="Z59"/>
  <c r="M57"/>
  <c r="J91" s="1"/>
  <c r="K69" i="4"/>
  <c r="K67"/>
  <c r="K65"/>
  <c r="K63"/>
  <c r="K61"/>
  <c r="K59"/>
  <c r="K57"/>
  <c r="K55"/>
  <c r="K53"/>
  <c r="K51"/>
  <c r="K49"/>
  <c r="K47"/>
  <c r="K45"/>
  <c r="K43"/>
  <c r="K41"/>
  <c r="K39"/>
  <c r="K37"/>
  <c r="K35"/>
  <c r="K33"/>
  <c r="K31"/>
  <c r="K29"/>
  <c r="K27"/>
  <c r="K25"/>
  <c r="K23"/>
  <c r="K21"/>
  <c r="K19"/>
  <c r="K17"/>
  <c r="K15"/>
  <c r="K13"/>
  <c r="K11"/>
  <c r="K9"/>
  <c r="K7"/>
  <c r="K70"/>
  <c r="K68"/>
  <c r="K66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8"/>
  <c r="K6"/>
  <c r="H8" i="17" l="1"/>
  <c r="H10"/>
  <c r="H12"/>
  <c r="H14"/>
  <c r="H16"/>
  <c r="H18"/>
  <c r="H20"/>
  <c r="H22"/>
  <c r="H24"/>
  <c r="H26"/>
  <c r="H28"/>
  <c r="H30"/>
  <c r="H32"/>
  <c r="H34"/>
  <c r="H36"/>
  <c r="H38"/>
  <c r="H40"/>
  <c r="H42"/>
  <c r="H44"/>
  <c r="H46"/>
  <c r="H7"/>
  <c r="H9"/>
  <c r="H11"/>
  <c r="H13"/>
  <c r="H15"/>
  <c r="H17"/>
  <c r="H19"/>
  <c r="H21"/>
  <c r="H23"/>
  <c r="H25"/>
  <c r="H27"/>
  <c r="H29"/>
  <c r="H31"/>
  <c r="H33"/>
  <c r="H35"/>
  <c r="H37"/>
  <c r="H39"/>
  <c r="H41"/>
  <c r="H43"/>
  <c r="H45"/>
  <c r="G25" i="21"/>
  <c r="D44" s="1"/>
  <c r="C24"/>
  <c r="H11"/>
  <c r="F11"/>
  <c r="B49"/>
  <c r="F49" s="1" a="1"/>
  <c r="H25"/>
  <c r="D38" s="1"/>
  <c r="F25"/>
  <c r="D32" s="1"/>
  <c r="K11"/>
  <c r="H23"/>
  <c r="B36" s="1"/>
  <c r="J11"/>
  <c r="G23"/>
  <c r="B42" s="1"/>
  <c r="F23"/>
  <c r="B30" s="1"/>
  <c r="G33" i="20"/>
  <c r="B41"/>
  <c r="G41" s="1"/>
  <c r="E70" s="1"/>
  <c r="J39"/>
  <c r="M55" s="1"/>
  <c r="I39"/>
  <c r="H55" s="1"/>
  <c r="G32"/>
  <c r="B40"/>
  <c r="G40" s="1"/>
  <c r="D69" s="1"/>
  <c r="I33"/>
  <c r="C41" s="1"/>
  <c r="B38"/>
  <c r="G38" s="1"/>
  <c r="B67" s="1"/>
  <c r="B85" s="1" a="1"/>
  <c r="K33"/>
  <c r="J32"/>
  <c r="I31"/>
  <c r="L40"/>
  <c r="I63" s="1"/>
  <c r="G30"/>
  <c r="F34"/>
  <c r="Z47" i="17"/>
  <c r="AG23" s="1"/>
  <c r="AG25" s="1"/>
  <c r="J9" i="16"/>
  <c r="N11" s="1"/>
  <c r="J13"/>
  <c r="N15" s="1"/>
  <c r="J17"/>
  <c r="N19" s="1"/>
  <c r="J21"/>
  <c r="N23" s="1"/>
  <c r="J25"/>
  <c r="N27" s="1"/>
  <c r="J29"/>
  <c r="N31" s="1"/>
  <c r="J33"/>
  <c r="N35" s="1"/>
  <c r="J37"/>
  <c r="N39" s="1"/>
  <c r="J41"/>
  <c r="N43" s="1"/>
  <c r="J45"/>
  <c r="J40"/>
  <c r="N42" s="1"/>
  <c r="J44"/>
  <c r="J8"/>
  <c r="N10" s="1"/>
  <c r="J12"/>
  <c r="N14" s="1"/>
  <c r="J16"/>
  <c r="N18" s="1"/>
  <c r="J20"/>
  <c r="N22" s="1"/>
  <c r="J24"/>
  <c r="N26" s="1"/>
  <c r="J28"/>
  <c r="N30" s="1"/>
  <c r="J32"/>
  <c r="N34" s="1"/>
  <c r="J36"/>
  <c r="N38" s="1"/>
  <c r="J7"/>
  <c r="N9" s="1"/>
  <c r="J11"/>
  <c r="N13" s="1"/>
  <c r="J15"/>
  <c r="N17" s="1"/>
  <c r="J19"/>
  <c r="N21" s="1"/>
  <c r="J23"/>
  <c r="N25" s="1"/>
  <c r="J27"/>
  <c r="N29" s="1"/>
  <c r="J31"/>
  <c r="N33" s="1"/>
  <c r="J35"/>
  <c r="N37" s="1"/>
  <c r="J39"/>
  <c r="N41" s="1"/>
  <c r="J43"/>
  <c r="N45" s="1"/>
  <c r="J38"/>
  <c r="N40" s="1"/>
  <c r="J42"/>
  <c r="N44" s="1"/>
  <c r="J6"/>
  <c r="N8" s="1"/>
  <c r="J10"/>
  <c r="N12" s="1"/>
  <c r="J14"/>
  <c r="N16" s="1"/>
  <c r="J18"/>
  <c r="N20" s="1"/>
  <c r="J22"/>
  <c r="N24" s="1"/>
  <c r="J26"/>
  <c r="N28" s="1"/>
  <c r="J30"/>
  <c r="N32" s="1"/>
  <c r="J34"/>
  <c r="N36" s="1"/>
  <c r="L22" i="12" a="1"/>
  <c r="AS21"/>
  <c r="BF34"/>
  <c r="BB34"/>
  <c r="AX34"/>
  <c r="AT34"/>
  <c r="BD33"/>
  <c r="AZ33"/>
  <c r="AV33"/>
  <c r="BF32"/>
  <c r="BB32"/>
  <c r="AX32"/>
  <c r="AT32"/>
  <c r="BD31"/>
  <c r="AZ31"/>
  <c r="AV31"/>
  <c r="BF30"/>
  <c r="BB30"/>
  <c r="AX30"/>
  <c r="AT30"/>
  <c r="BD29"/>
  <c r="AZ29"/>
  <c r="AV29"/>
  <c r="BF28"/>
  <c r="BB28"/>
  <c r="AX28"/>
  <c r="AT28"/>
  <c r="BD27"/>
  <c r="AZ27"/>
  <c r="AV27"/>
  <c r="BF26"/>
  <c r="BB26"/>
  <c r="AX26"/>
  <c r="AT26"/>
  <c r="BD25"/>
  <c r="AZ25"/>
  <c r="AV25"/>
  <c r="BF24"/>
  <c r="BB24"/>
  <c r="AX24"/>
  <c r="AT24"/>
  <c r="BD23"/>
  <c r="AZ23"/>
  <c r="AV23"/>
  <c r="BF22"/>
  <c r="BB22"/>
  <c r="AX22"/>
  <c r="AT22"/>
  <c r="BD21"/>
  <c r="AZ21"/>
  <c r="AV21"/>
  <c r="BE34"/>
  <c r="BA34"/>
  <c r="AW34"/>
  <c r="AS34"/>
  <c r="BC33"/>
  <c r="AY33"/>
  <c r="AU33"/>
  <c r="BE32"/>
  <c r="BA32"/>
  <c r="AW32"/>
  <c r="AS32"/>
  <c r="BC31"/>
  <c r="AY31"/>
  <c r="AU31"/>
  <c r="BE30"/>
  <c r="BA30"/>
  <c r="AW30"/>
  <c r="AS30"/>
  <c r="BC29"/>
  <c r="AY29"/>
  <c r="AU29"/>
  <c r="BE28"/>
  <c r="BA28"/>
  <c r="AW28"/>
  <c r="AS28"/>
  <c r="BC27"/>
  <c r="AY27"/>
  <c r="AU27"/>
  <c r="BE26"/>
  <c r="BA26"/>
  <c r="AW26"/>
  <c r="AS26"/>
  <c r="BC25"/>
  <c r="AY25"/>
  <c r="AU25"/>
  <c r="BE24"/>
  <c r="BA24"/>
  <c r="AW24"/>
  <c r="AS24"/>
  <c r="BC23"/>
  <c r="AY23"/>
  <c r="AU23"/>
  <c r="BE22"/>
  <c r="BA22"/>
  <c r="AW22"/>
  <c r="AS22"/>
  <c r="BC21"/>
  <c r="AY21"/>
  <c r="AU21"/>
  <c r="BD34"/>
  <c r="AZ34"/>
  <c r="AV34"/>
  <c r="BF33"/>
  <c r="BB33"/>
  <c r="AX33"/>
  <c r="AT33"/>
  <c r="BD32"/>
  <c r="AZ32"/>
  <c r="AV32"/>
  <c r="BF31"/>
  <c r="BB31"/>
  <c r="AX31"/>
  <c r="AT31"/>
  <c r="BD30"/>
  <c r="AZ30"/>
  <c r="AV30"/>
  <c r="BF29"/>
  <c r="BB29"/>
  <c r="AX29"/>
  <c r="AT29"/>
  <c r="BD28"/>
  <c r="AZ28"/>
  <c r="AV28"/>
  <c r="BF27"/>
  <c r="BB27"/>
  <c r="AX27"/>
  <c r="AT27"/>
  <c r="BD26"/>
  <c r="AZ26"/>
  <c r="AV26"/>
  <c r="BF25"/>
  <c r="BB25"/>
  <c r="AX25"/>
  <c r="AT25"/>
  <c r="BD24"/>
  <c r="AZ24"/>
  <c r="AV24"/>
  <c r="BF23"/>
  <c r="BB23"/>
  <c r="AX23"/>
  <c r="AT23"/>
  <c r="BD22"/>
  <c r="AZ22"/>
  <c r="AV22"/>
  <c r="BF21"/>
  <c r="BB21"/>
  <c r="AX21"/>
  <c r="AT21"/>
  <c r="BC34"/>
  <c r="AY34"/>
  <c r="AU34"/>
  <c r="BE33"/>
  <c r="BA33"/>
  <c r="AW33"/>
  <c r="AS33"/>
  <c r="BC32"/>
  <c r="AY32"/>
  <c r="AU32"/>
  <c r="BE31"/>
  <c r="BA31"/>
  <c r="AW31"/>
  <c r="AS31"/>
  <c r="BC30"/>
  <c r="AY30"/>
  <c r="AU30"/>
  <c r="BE29"/>
  <c r="BA29"/>
  <c r="AW29"/>
  <c r="AS29"/>
  <c r="BC28"/>
  <c r="AY28"/>
  <c r="AU28"/>
  <c r="BE27"/>
  <c r="BA27"/>
  <c r="AW27"/>
  <c r="AS27"/>
  <c r="BC26"/>
  <c r="AY26"/>
  <c r="AU26"/>
  <c r="BE25"/>
  <c r="BA25"/>
  <c r="AW25"/>
  <c r="AS25"/>
  <c r="BC24"/>
  <c r="AY24"/>
  <c r="AU24"/>
  <c r="BE23"/>
  <c r="BA23"/>
  <c r="AW23"/>
  <c r="AS23"/>
  <c r="BC22"/>
  <c r="AY22"/>
  <c r="AU22"/>
  <c r="BE21"/>
  <c r="BA21"/>
  <c r="AW21"/>
  <c r="L22"/>
  <c r="L23"/>
  <c r="L25"/>
  <c r="L26"/>
  <c r="L24"/>
  <c r="AQ57" i="10"/>
  <c r="AQ55"/>
  <c r="AQ58"/>
  <c r="AQ56"/>
  <c r="W95"/>
  <c r="AC51" s="1"/>
  <c r="Z59" s="1" a="1"/>
  <c r="J28" i="8"/>
  <c r="J4"/>
  <c r="J20"/>
  <c r="J36"/>
  <c r="J52"/>
  <c r="J68"/>
  <c r="J12"/>
  <c r="J44"/>
  <c r="J60"/>
  <c r="J8"/>
  <c r="J16"/>
  <c r="J24"/>
  <c r="J32"/>
  <c r="J40"/>
  <c r="J48"/>
  <c r="J56"/>
  <c r="J64"/>
  <c r="J72"/>
  <c r="J80"/>
  <c r="J88"/>
  <c r="J7"/>
  <c r="J15"/>
  <c r="J76"/>
  <c r="J84"/>
  <c r="J92"/>
  <c r="J11"/>
  <c r="J6"/>
  <c r="J10"/>
  <c r="J14"/>
  <c r="J18"/>
  <c r="J22"/>
  <c r="J26"/>
  <c r="J30"/>
  <c r="J34"/>
  <c r="J38"/>
  <c r="J42"/>
  <c r="J46"/>
  <c r="J50"/>
  <c r="J54"/>
  <c r="J58"/>
  <c r="J62"/>
  <c r="J66"/>
  <c r="J70"/>
  <c r="J74"/>
  <c r="J78"/>
  <c r="J82"/>
  <c r="J86"/>
  <c r="J90"/>
  <c r="J5"/>
  <c r="J9"/>
  <c r="J13"/>
  <c r="J17"/>
  <c r="J21"/>
  <c r="J25"/>
  <c r="J29"/>
  <c r="J33"/>
  <c r="J37"/>
  <c r="J41"/>
  <c r="J45"/>
  <c r="J49"/>
  <c r="J53"/>
  <c r="J57"/>
  <c r="J61"/>
  <c r="J65"/>
  <c r="J69"/>
  <c r="J73"/>
  <c r="J77"/>
  <c r="J81"/>
  <c r="J85"/>
  <c r="J89"/>
  <c r="J93"/>
  <c r="J19"/>
  <c r="J23"/>
  <c r="J27"/>
  <c r="J31"/>
  <c r="J35"/>
  <c r="J39"/>
  <c r="J43"/>
  <c r="J47"/>
  <c r="J51"/>
  <c r="J55"/>
  <c r="J59"/>
  <c r="J63"/>
  <c r="J67"/>
  <c r="J71"/>
  <c r="J75"/>
  <c r="J79"/>
  <c r="J83"/>
  <c r="J87"/>
  <c r="L8" i="4"/>
  <c r="O8"/>
  <c r="L16"/>
  <c r="O16"/>
  <c r="L24"/>
  <c r="O24"/>
  <c r="L32"/>
  <c r="O32"/>
  <c r="L36"/>
  <c r="O36"/>
  <c r="L44"/>
  <c r="O44"/>
  <c r="L52"/>
  <c r="O52"/>
  <c r="K71"/>
  <c r="L6"/>
  <c r="O6"/>
  <c r="L10"/>
  <c r="O10"/>
  <c r="L14"/>
  <c r="O14"/>
  <c r="L18"/>
  <c r="O18"/>
  <c r="L22"/>
  <c r="O22"/>
  <c r="L26"/>
  <c r="O26"/>
  <c r="L30"/>
  <c r="O30"/>
  <c r="L34"/>
  <c r="O34"/>
  <c r="L38"/>
  <c r="O38"/>
  <c r="L42"/>
  <c r="O42"/>
  <c r="L46"/>
  <c r="O46"/>
  <c r="L50"/>
  <c r="O50"/>
  <c r="L54"/>
  <c r="O54"/>
  <c r="L58"/>
  <c r="O58"/>
  <c r="L62"/>
  <c r="O62"/>
  <c r="L66"/>
  <c r="O66"/>
  <c r="L70"/>
  <c r="O70"/>
  <c r="O9"/>
  <c r="L9"/>
  <c r="O13"/>
  <c r="L13"/>
  <c r="O17"/>
  <c r="L17"/>
  <c r="O21"/>
  <c r="L21"/>
  <c r="O25"/>
  <c r="L25"/>
  <c r="O29"/>
  <c r="L29"/>
  <c r="O33"/>
  <c r="L33"/>
  <c r="O37"/>
  <c r="L37"/>
  <c r="O41"/>
  <c r="L41"/>
  <c r="O45"/>
  <c r="L45"/>
  <c r="O49"/>
  <c r="L49"/>
  <c r="O53"/>
  <c r="L53"/>
  <c r="O57"/>
  <c r="L57"/>
  <c r="O61"/>
  <c r="L61"/>
  <c r="O65"/>
  <c r="L65"/>
  <c r="O69"/>
  <c r="L69"/>
  <c r="L12"/>
  <c r="O12"/>
  <c r="L20"/>
  <c r="O20"/>
  <c r="L28"/>
  <c r="O28"/>
  <c r="L40"/>
  <c r="O40"/>
  <c r="L48"/>
  <c r="O48"/>
  <c r="L56"/>
  <c r="O56"/>
  <c r="L60"/>
  <c r="O60"/>
  <c r="L64"/>
  <c r="O64"/>
  <c r="L68"/>
  <c r="O68"/>
  <c r="O7"/>
  <c r="L7"/>
  <c r="O11"/>
  <c r="L11"/>
  <c r="O15"/>
  <c r="L15"/>
  <c r="O19"/>
  <c r="L19"/>
  <c r="O23"/>
  <c r="L23"/>
  <c r="O27"/>
  <c r="L27"/>
  <c r="O31"/>
  <c r="L31"/>
  <c r="O35"/>
  <c r="L35"/>
  <c r="O39"/>
  <c r="L39"/>
  <c r="O43"/>
  <c r="L43"/>
  <c r="O47"/>
  <c r="L47"/>
  <c r="O51"/>
  <c r="L51"/>
  <c r="O55"/>
  <c r="L55"/>
  <c r="O59"/>
  <c r="L59"/>
  <c r="O63"/>
  <c r="L63"/>
  <c r="O67"/>
  <c r="L67"/>
  <c r="H47" i="17" l="1"/>
  <c r="T17" i="21"/>
  <c r="Q24" s="1" a="1"/>
  <c r="T16"/>
  <c r="H24"/>
  <c r="C37" s="1"/>
  <c r="F36" s="1" a="1"/>
  <c r="F24"/>
  <c r="C31" s="1"/>
  <c r="F40" s="1" a="1"/>
  <c r="I44" a="1"/>
  <c r="F44" a="1"/>
  <c r="B60" a="1"/>
  <c r="I36" a="1"/>
  <c r="G50"/>
  <c r="G49"/>
  <c r="F50"/>
  <c r="F49"/>
  <c r="B85" i="20"/>
  <c r="C86"/>
  <c r="C85"/>
  <c r="B86"/>
  <c r="J34"/>
  <c r="D40"/>
  <c r="J38"/>
  <c r="L54" s="1"/>
  <c r="E78" s="1" a="1"/>
  <c r="H38"/>
  <c r="B53" s="1"/>
  <c r="I38"/>
  <c r="G54" s="1"/>
  <c r="B78" s="1" a="1"/>
  <c r="J40"/>
  <c r="N56" s="1"/>
  <c r="H40"/>
  <c r="D55" s="1"/>
  <c r="I40"/>
  <c r="I56" s="1"/>
  <c r="G34"/>
  <c r="C39"/>
  <c r="I34"/>
  <c r="E41"/>
  <c r="M41" s="1"/>
  <c r="O64" s="1"/>
  <c r="K34"/>
  <c r="L41"/>
  <c r="J64" s="1"/>
  <c r="K41"/>
  <c r="E63" s="1"/>
  <c r="J41"/>
  <c r="O57" s="1"/>
  <c r="H41"/>
  <c r="E56" s="1"/>
  <c r="I41"/>
  <c r="J57" s="1"/>
  <c r="Q28" i="16"/>
  <c r="Q27"/>
  <c r="M31"/>
  <c r="K30"/>
  <c r="M23"/>
  <c r="K22"/>
  <c r="M15"/>
  <c r="K14"/>
  <c r="M7"/>
  <c r="J46"/>
  <c r="K6"/>
  <c r="M39"/>
  <c r="O39" s="1"/>
  <c r="K38"/>
  <c r="K39"/>
  <c r="M40"/>
  <c r="O40" s="1"/>
  <c r="K31"/>
  <c r="O31"/>
  <c r="M32"/>
  <c r="O32" s="1"/>
  <c r="K23"/>
  <c r="O23"/>
  <c r="M24"/>
  <c r="O24" s="1"/>
  <c r="K15"/>
  <c r="O15"/>
  <c r="M16"/>
  <c r="O16" s="1"/>
  <c r="M8"/>
  <c r="O8" s="1"/>
  <c r="K7"/>
  <c r="O7"/>
  <c r="M33"/>
  <c r="K32"/>
  <c r="M25"/>
  <c r="O25" s="1"/>
  <c r="K24"/>
  <c r="M17"/>
  <c r="K16"/>
  <c r="M9"/>
  <c r="O9" s="1"/>
  <c r="K8"/>
  <c r="M41"/>
  <c r="O41" s="1"/>
  <c r="K40"/>
  <c r="K41"/>
  <c r="M42"/>
  <c r="O42" s="1"/>
  <c r="K33"/>
  <c r="O33"/>
  <c r="M34"/>
  <c r="O34" s="1"/>
  <c r="K25"/>
  <c r="M26"/>
  <c r="O26" s="1"/>
  <c r="K17"/>
  <c r="O17"/>
  <c r="M18"/>
  <c r="O18" s="1"/>
  <c r="K9"/>
  <c r="M10"/>
  <c r="O10" s="1"/>
  <c r="M35"/>
  <c r="K34"/>
  <c r="M27"/>
  <c r="O27" s="1"/>
  <c r="K26"/>
  <c r="M19"/>
  <c r="K18"/>
  <c r="M11"/>
  <c r="O11" s="1"/>
  <c r="K10"/>
  <c r="M43"/>
  <c r="O43" s="1"/>
  <c r="K42"/>
  <c r="K43"/>
  <c r="M44"/>
  <c r="O44" s="1"/>
  <c r="K35"/>
  <c r="O35"/>
  <c r="M36"/>
  <c r="O36" s="1"/>
  <c r="K27"/>
  <c r="M28"/>
  <c r="O28" s="1"/>
  <c r="K19"/>
  <c r="O19"/>
  <c r="M20"/>
  <c r="O20" s="1"/>
  <c r="K11"/>
  <c r="M12"/>
  <c r="O12" s="1"/>
  <c r="M37"/>
  <c r="K36"/>
  <c r="M29"/>
  <c r="K28"/>
  <c r="M21"/>
  <c r="K20"/>
  <c r="M13"/>
  <c r="K12"/>
  <c r="M45"/>
  <c r="O45" s="1"/>
  <c r="K44"/>
  <c r="K45"/>
  <c r="K37"/>
  <c r="O37"/>
  <c r="M38"/>
  <c r="O38" s="1"/>
  <c r="K29"/>
  <c r="O29"/>
  <c r="M30"/>
  <c r="O30" s="1"/>
  <c r="K21"/>
  <c r="O21"/>
  <c r="M22"/>
  <c r="O22" s="1"/>
  <c r="K13"/>
  <c r="O13"/>
  <c r="M14"/>
  <c r="O14" s="1"/>
  <c r="H90" i="12"/>
  <c r="Z90" s="1"/>
  <c r="H88"/>
  <c r="Z88" s="1"/>
  <c r="H86"/>
  <c r="Z86" s="1"/>
  <c r="H84"/>
  <c r="Z84" s="1"/>
  <c r="H82"/>
  <c r="Z82" s="1"/>
  <c r="H80"/>
  <c r="Z80" s="1"/>
  <c r="H78"/>
  <c r="Z78" s="1"/>
  <c r="H76"/>
  <c r="Z76" s="1"/>
  <c r="H74"/>
  <c r="Z74" s="1"/>
  <c r="H72"/>
  <c r="Z72" s="1"/>
  <c r="H70"/>
  <c r="Z70" s="1"/>
  <c r="H68"/>
  <c r="Z68" s="1"/>
  <c r="H66"/>
  <c r="Z66" s="1"/>
  <c r="H64"/>
  <c r="Z64" s="1"/>
  <c r="H62"/>
  <c r="Z62" s="1"/>
  <c r="H60"/>
  <c r="Z60" s="1"/>
  <c r="H58"/>
  <c r="Z58" s="1"/>
  <c r="H56"/>
  <c r="Z56" s="1"/>
  <c r="H54"/>
  <c r="Z54" s="1"/>
  <c r="H52"/>
  <c r="Z52" s="1"/>
  <c r="H50"/>
  <c r="Z50" s="1"/>
  <c r="H48"/>
  <c r="Z48" s="1"/>
  <c r="H46"/>
  <c r="Z46" s="1"/>
  <c r="H44"/>
  <c r="Z44" s="1"/>
  <c r="H42"/>
  <c r="Z42" s="1"/>
  <c r="H40"/>
  <c r="Z40" s="1"/>
  <c r="H38"/>
  <c r="Z38" s="1"/>
  <c r="H36"/>
  <c r="Z36" s="1"/>
  <c r="H34"/>
  <c r="Z34" s="1"/>
  <c r="H32"/>
  <c r="Z32" s="1"/>
  <c r="H30"/>
  <c r="Z30" s="1"/>
  <c r="H28"/>
  <c r="Z28" s="1"/>
  <c r="H26"/>
  <c r="Z26" s="1"/>
  <c r="H24"/>
  <c r="Z24" s="1"/>
  <c r="H22"/>
  <c r="Z22" s="1"/>
  <c r="H20"/>
  <c r="Z20" s="1"/>
  <c r="H18"/>
  <c r="Z18" s="1"/>
  <c r="H16"/>
  <c r="Z16" s="1"/>
  <c r="H14"/>
  <c r="Z14" s="1"/>
  <c r="H12"/>
  <c r="Z12" s="1"/>
  <c r="H10"/>
  <c r="Z10" s="1"/>
  <c r="H8"/>
  <c r="Z8" s="1"/>
  <c r="H6"/>
  <c r="Z6" s="1"/>
  <c r="H91"/>
  <c r="Z91" s="1"/>
  <c r="H89"/>
  <c r="Z89" s="1"/>
  <c r="H87"/>
  <c r="Z87" s="1"/>
  <c r="H85"/>
  <c r="Z85" s="1"/>
  <c r="H83"/>
  <c r="Z83" s="1"/>
  <c r="H81"/>
  <c r="Z81" s="1"/>
  <c r="H79"/>
  <c r="Z79" s="1"/>
  <c r="H77"/>
  <c r="Z77" s="1"/>
  <c r="H75"/>
  <c r="Z75" s="1"/>
  <c r="H73"/>
  <c r="Z73" s="1"/>
  <c r="H71"/>
  <c r="Z71" s="1"/>
  <c r="H69"/>
  <c r="Z69" s="1"/>
  <c r="H67"/>
  <c r="Z67" s="1"/>
  <c r="H65"/>
  <c r="Z65" s="1"/>
  <c r="H63"/>
  <c r="Z63" s="1"/>
  <c r="H61"/>
  <c r="Z61" s="1"/>
  <c r="H59"/>
  <c r="Z59" s="1"/>
  <c r="H57"/>
  <c r="Z57" s="1"/>
  <c r="H55"/>
  <c r="Z55" s="1"/>
  <c r="H53"/>
  <c r="Z53" s="1"/>
  <c r="H51"/>
  <c r="Z51" s="1"/>
  <c r="H49"/>
  <c r="Z49" s="1"/>
  <c r="H47"/>
  <c r="Z47" s="1"/>
  <c r="H45"/>
  <c r="Z45" s="1"/>
  <c r="H43"/>
  <c r="Z43" s="1"/>
  <c r="H41"/>
  <c r="Z41" s="1"/>
  <c r="H39"/>
  <c r="Z39" s="1"/>
  <c r="H37"/>
  <c r="Z37" s="1"/>
  <c r="H35"/>
  <c r="Z35" s="1"/>
  <c r="H33"/>
  <c r="Z33" s="1"/>
  <c r="H31"/>
  <c r="Z31" s="1"/>
  <c r="H29"/>
  <c r="Z29" s="1"/>
  <c r="H27"/>
  <c r="Z27" s="1"/>
  <c r="H25"/>
  <c r="Z25" s="1"/>
  <c r="H23"/>
  <c r="Z23" s="1"/>
  <c r="H21"/>
  <c r="Z21" s="1"/>
  <c r="H19"/>
  <c r="Z19" s="1"/>
  <c r="H17"/>
  <c r="Z17" s="1"/>
  <c r="H15"/>
  <c r="Z15" s="1"/>
  <c r="H13"/>
  <c r="Z13" s="1"/>
  <c r="H11"/>
  <c r="Z11" s="1"/>
  <c r="H9"/>
  <c r="Z9" s="1"/>
  <c r="H7"/>
  <c r="Z7" s="1"/>
  <c r="H5"/>
  <c r="Z5" s="1"/>
  <c r="AN93" i="10"/>
  <c r="AN89"/>
  <c r="AN85"/>
  <c r="AN81"/>
  <c r="AN77"/>
  <c r="AN73"/>
  <c r="AN69"/>
  <c r="AN65"/>
  <c r="AN61"/>
  <c r="AN57"/>
  <c r="AN53"/>
  <c r="AN49"/>
  <c r="AN45"/>
  <c r="AN41"/>
  <c r="AN37"/>
  <c r="AN33"/>
  <c r="AN29"/>
  <c r="AN25"/>
  <c r="AN21"/>
  <c r="AN17"/>
  <c r="AN13"/>
  <c r="AN9"/>
  <c r="AN5"/>
  <c r="AN92"/>
  <c r="AN88"/>
  <c r="AN84"/>
  <c r="AN80"/>
  <c r="AN76"/>
  <c r="AN72"/>
  <c r="AN68"/>
  <c r="AN64"/>
  <c r="AN60"/>
  <c r="AN56"/>
  <c r="AN52"/>
  <c r="AN48"/>
  <c r="AN44"/>
  <c r="AN40"/>
  <c r="AN36"/>
  <c r="AN32"/>
  <c r="AN28"/>
  <c r="AN24"/>
  <c r="AN20"/>
  <c r="AN16"/>
  <c r="AN12"/>
  <c r="AN8"/>
  <c r="AQ68" a="1"/>
  <c r="AN91"/>
  <c r="AN87"/>
  <c r="AN83"/>
  <c r="AN79"/>
  <c r="AN75"/>
  <c r="AN71"/>
  <c r="AN67"/>
  <c r="AN63"/>
  <c r="AN59"/>
  <c r="AN55"/>
  <c r="AN51"/>
  <c r="AN47"/>
  <c r="AN43"/>
  <c r="AN39"/>
  <c r="AN35"/>
  <c r="AN31"/>
  <c r="AN27"/>
  <c r="AN23"/>
  <c r="AN19"/>
  <c r="AN15"/>
  <c r="AN11"/>
  <c r="AN7"/>
  <c r="AN94"/>
  <c r="AN90"/>
  <c r="AN86"/>
  <c r="AN82"/>
  <c r="AN78"/>
  <c r="AN74"/>
  <c r="AN70"/>
  <c r="AN66"/>
  <c r="AN62"/>
  <c r="AN58"/>
  <c r="AN54"/>
  <c r="AN50"/>
  <c r="AN46"/>
  <c r="AN42"/>
  <c r="AN38"/>
  <c r="AN34"/>
  <c r="AN30"/>
  <c r="AN26"/>
  <c r="AN22"/>
  <c r="AN18"/>
  <c r="AN14"/>
  <c r="AN10"/>
  <c r="AN6"/>
  <c r="AB61"/>
  <c r="Z61"/>
  <c r="AA60"/>
  <c r="AB59"/>
  <c r="Z59"/>
  <c r="AA61"/>
  <c r="AB60"/>
  <c r="Z60"/>
  <c r="AA59"/>
  <c r="K71"/>
  <c r="J94" i="8"/>
  <c r="P53" s="1"/>
  <c r="Q68" i="4"/>
  <c r="N68"/>
  <c r="M68"/>
  <c r="Q67"/>
  <c r="M67"/>
  <c r="N67"/>
  <c r="Q63"/>
  <c r="M63"/>
  <c r="N63"/>
  <c r="Q59"/>
  <c r="M59"/>
  <c r="N59"/>
  <c r="Q55"/>
  <c r="M55"/>
  <c r="N55"/>
  <c r="Q51"/>
  <c r="M51"/>
  <c r="N51"/>
  <c r="Q47"/>
  <c r="M47"/>
  <c r="N47"/>
  <c r="Q43"/>
  <c r="M43"/>
  <c r="N43"/>
  <c r="Q39"/>
  <c r="M39"/>
  <c r="N39"/>
  <c r="Q35"/>
  <c r="M35"/>
  <c r="N35"/>
  <c r="Q31"/>
  <c r="M31"/>
  <c r="N31"/>
  <c r="Q27"/>
  <c r="M27"/>
  <c r="N27"/>
  <c r="Q23"/>
  <c r="M23"/>
  <c r="N23"/>
  <c r="Q19"/>
  <c r="M19"/>
  <c r="N19"/>
  <c r="Q15"/>
  <c r="M15"/>
  <c r="N15"/>
  <c r="Q11"/>
  <c r="M11"/>
  <c r="N11"/>
  <c r="Q7"/>
  <c r="M7"/>
  <c r="N7"/>
  <c r="Q69"/>
  <c r="M69"/>
  <c r="N69"/>
  <c r="Q65"/>
  <c r="M65"/>
  <c r="N65"/>
  <c r="Q61"/>
  <c r="M61"/>
  <c r="N61"/>
  <c r="Q57"/>
  <c r="M57"/>
  <c r="N57"/>
  <c r="Q53"/>
  <c r="M53"/>
  <c r="N53"/>
  <c r="Q49"/>
  <c r="M49"/>
  <c r="N49"/>
  <c r="Q45"/>
  <c r="M45"/>
  <c r="N45"/>
  <c r="Q41"/>
  <c r="M41"/>
  <c r="N41"/>
  <c r="Q37"/>
  <c r="M37"/>
  <c r="N37"/>
  <c r="Q33"/>
  <c r="M33"/>
  <c r="N33"/>
  <c r="Q29"/>
  <c r="M29"/>
  <c r="N29"/>
  <c r="Q25"/>
  <c r="M25"/>
  <c r="N25"/>
  <c r="Q21"/>
  <c r="M21"/>
  <c r="N21"/>
  <c r="Q17"/>
  <c r="M17"/>
  <c r="N17"/>
  <c r="Q13"/>
  <c r="M13"/>
  <c r="N13"/>
  <c r="Q9"/>
  <c r="M9"/>
  <c r="N9"/>
  <c r="Q52"/>
  <c r="N52"/>
  <c r="M52"/>
  <c r="Q44"/>
  <c r="N44"/>
  <c r="M44"/>
  <c r="Q36"/>
  <c r="N36"/>
  <c r="M36"/>
  <c r="Q32"/>
  <c r="N32"/>
  <c r="M32"/>
  <c r="Q24"/>
  <c r="N24"/>
  <c r="M24"/>
  <c r="Q16"/>
  <c r="N16"/>
  <c r="M16"/>
  <c r="Q8"/>
  <c r="N8"/>
  <c r="M8"/>
  <c r="O71"/>
  <c r="Q64"/>
  <c r="N64"/>
  <c r="M64"/>
  <c r="Q60"/>
  <c r="N60"/>
  <c r="M60"/>
  <c r="Q56"/>
  <c r="N56"/>
  <c r="M56"/>
  <c r="Q48"/>
  <c r="N48"/>
  <c r="M48"/>
  <c r="Q40"/>
  <c r="N40"/>
  <c r="M40"/>
  <c r="Q28"/>
  <c r="N28"/>
  <c r="M28"/>
  <c r="Q20"/>
  <c r="N20"/>
  <c r="M20"/>
  <c r="Q12"/>
  <c r="N12"/>
  <c r="M12"/>
  <c r="Q70"/>
  <c r="N70"/>
  <c r="M70"/>
  <c r="Q66"/>
  <c r="N66"/>
  <c r="M66"/>
  <c r="Q62"/>
  <c r="N62"/>
  <c r="M62"/>
  <c r="Q58"/>
  <c r="N58"/>
  <c r="M58"/>
  <c r="Q54"/>
  <c r="N54"/>
  <c r="M54"/>
  <c r="Q50"/>
  <c r="N50"/>
  <c r="M50"/>
  <c r="Q46"/>
  <c r="N46"/>
  <c r="M46"/>
  <c r="Q42"/>
  <c r="N42"/>
  <c r="M42"/>
  <c r="Q38"/>
  <c r="N38"/>
  <c r="M38"/>
  <c r="Q34"/>
  <c r="N34"/>
  <c r="M34"/>
  <c r="Q30"/>
  <c r="N30"/>
  <c r="M30"/>
  <c r="Q26"/>
  <c r="N26"/>
  <c r="M26"/>
  <c r="Q22"/>
  <c r="N22"/>
  <c r="M22"/>
  <c r="Q18"/>
  <c r="N18"/>
  <c r="M18"/>
  <c r="Q14"/>
  <c r="N14"/>
  <c r="M14"/>
  <c r="Q10"/>
  <c r="N10"/>
  <c r="M10"/>
  <c r="Q6"/>
  <c r="Q71" s="1"/>
  <c r="N6"/>
  <c r="M6"/>
  <c r="M71" s="1"/>
  <c r="L71"/>
  <c r="O24" i="17" l="1"/>
  <c r="O23"/>
  <c r="O26" s="1"/>
  <c r="O28"/>
  <c r="E60" i="21" a="1"/>
  <c r="G41"/>
  <c r="G40"/>
  <c r="F41"/>
  <c r="F40"/>
  <c r="G37"/>
  <c r="G36"/>
  <c r="F37"/>
  <c r="F36"/>
  <c r="F45"/>
  <c r="F44"/>
  <c r="G45"/>
  <c r="G44"/>
  <c r="I40" a="1"/>
  <c r="I37"/>
  <c r="I36"/>
  <c r="J37"/>
  <c r="J36"/>
  <c r="C61"/>
  <c r="C60"/>
  <c r="B61"/>
  <c r="B60"/>
  <c r="J45"/>
  <c r="J44"/>
  <c r="I45"/>
  <c r="I44"/>
  <c r="Q25"/>
  <c r="Q24"/>
  <c r="R25"/>
  <c r="R24"/>
  <c r="E61"/>
  <c r="E60"/>
  <c r="F61"/>
  <c r="F60"/>
  <c r="B78" i="20"/>
  <c r="C79"/>
  <c r="B79"/>
  <c r="C78"/>
  <c r="E78"/>
  <c r="F78"/>
  <c r="F79"/>
  <c r="E79"/>
  <c r="L19"/>
  <c r="L18"/>
  <c r="L39"/>
  <c r="H62" s="1"/>
  <c r="K74" s="1" a="1"/>
  <c r="K39"/>
  <c r="C61" s="1"/>
  <c r="H39"/>
  <c r="C54" s="1"/>
  <c r="H74" s="1" a="1"/>
  <c r="M40"/>
  <c r="N63" s="1"/>
  <c r="B74" s="1" a="1"/>
  <c r="K40"/>
  <c r="D62" s="1"/>
  <c r="O46" i="16"/>
  <c r="K46"/>
  <c r="AN95" i="10"/>
  <c r="AT52" s="1"/>
  <c r="AQ68"/>
  <c r="AQ69"/>
  <c r="Z68" a="1"/>
  <c r="Z68" s="1"/>
  <c r="Z71" s="1"/>
  <c r="N71" i="4"/>
  <c r="I41" i="21" l="1"/>
  <c r="I40"/>
  <c r="J41"/>
  <c r="J40"/>
  <c r="H60" a="1"/>
  <c r="I74" i="20"/>
  <c r="H75"/>
  <c r="H74"/>
  <c r="I75"/>
  <c r="K74"/>
  <c r="L74"/>
  <c r="L75"/>
  <c r="K75"/>
  <c r="C74"/>
  <c r="B75"/>
  <c r="B74"/>
  <c r="C75"/>
  <c r="E74" a="1"/>
  <c r="L25" a="1"/>
  <c r="L26" s="1"/>
  <c r="R24" i="16"/>
  <c r="R23"/>
  <c r="R25"/>
  <c r="AT60" i="10"/>
  <c r="AR63"/>
  <c r="AR62"/>
  <c r="AQ60"/>
  <c r="AQ62"/>
  <c r="AT63"/>
  <c r="AS63"/>
  <c r="AS61"/>
  <c r="AR61"/>
  <c r="AR60"/>
  <c r="AT62"/>
  <c r="AQ63"/>
  <c r="AQ61"/>
  <c r="AT61"/>
  <c r="AS62"/>
  <c r="AS60"/>
  <c r="AQ75" a="1"/>
  <c r="L25" i="20" l="1"/>
  <c r="M25"/>
  <c r="I61" i="21"/>
  <c r="I60"/>
  <c r="H61"/>
  <c r="H60"/>
  <c r="K60" s="1" a="1"/>
  <c r="F75" i="20"/>
  <c r="E74"/>
  <c r="E85" s="1" a="1"/>
  <c r="F74"/>
  <c r="E75"/>
  <c r="M26"/>
  <c r="AQ75" i="10"/>
  <c r="AR75"/>
  <c r="AQ72" a="1"/>
  <c r="F85" i="20" l="1"/>
  <c r="E86"/>
  <c r="F86"/>
  <c r="E85"/>
  <c r="H85" s="1" a="1"/>
  <c r="K61" i="21"/>
  <c r="K60"/>
  <c r="L61"/>
  <c r="L60"/>
  <c r="AR73" i="10"/>
  <c r="AR72"/>
  <c r="AQ77" s="1" a="1"/>
  <c r="AQ77" s="1"/>
  <c r="AQ72"/>
  <c r="AQ73"/>
  <c r="L28" i="12" a="1"/>
  <c r="AS37" a="1"/>
  <c r="AS44" s="1"/>
  <c r="Z92"/>
  <c r="H92"/>
  <c r="O22" s="1"/>
  <c r="Z4"/>
  <c r="K63" i="21" l="1" a="1"/>
  <c r="I86" i="20"/>
  <c r="H86"/>
  <c r="H85"/>
  <c r="I85"/>
  <c r="L29" i="12"/>
  <c r="O28"/>
  <c r="P29"/>
  <c r="M29"/>
  <c r="L28"/>
  <c r="M32"/>
  <c r="N29"/>
  <c r="P28"/>
  <c r="M28"/>
  <c r="P30"/>
  <c r="L32"/>
  <c r="O30"/>
  <c r="N30"/>
  <c r="N28"/>
  <c r="P31"/>
  <c r="N32"/>
  <c r="O29"/>
  <c r="O32"/>
  <c r="M31"/>
  <c r="O31"/>
  <c r="M30"/>
  <c r="N31"/>
  <c r="P32"/>
  <c r="L31"/>
  <c r="L30"/>
  <c r="AS38"/>
  <c r="AS45"/>
  <c r="AS39"/>
  <c r="AS46"/>
  <c r="AS40"/>
  <c r="AS47"/>
  <c r="AS41"/>
  <c r="AW38"/>
  <c r="AS37"/>
  <c r="AS48"/>
  <c r="AS42"/>
  <c r="AS49"/>
  <c r="AS43"/>
  <c r="AS50"/>
  <c r="K85" i="20" l="1" a="1"/>
  <c r="K85" s="1"/>
  <c r="L64" i="21"/>
  <c r="L63"/>
  <c r="K64"/>
  <c r="K63"/>
  <c r="Q27" a="1"/>
  <c r="AP25" i="12"/>
  <c r="AP89"/>
  <c r="AP32"/>
  <c r="AP64"/>
  <c r="AP33"/>
  <c r="AP12"/>
  <c r="AP44"/>
  <c r="AP76"/>
  <c r="AP45"/>
  <c r="AP70"/>
  <c r="AP38"/>
  <c r="AP6"/>
  <c r="AP79"/>
  <c r="AP39"/>
  <c r="AP69"/>
  <c r="AP90"/>
  <c r="AP58"/>
  <c r="AP26"/>
  <c r="AP9"/>
  <c r="AP67"/>
  <c r="AP35"/>
  <c r="AP47"/>
  <c r="AP7"/>
  <c r="AP73"/>
  <c r="AP24"/>
  <c r="AP56"/>
  <c r="AP88"/>
  <c r="AP81"/>
  <c r="AP36"/>
  <c r="AP68"/>
  <c r="AP61"/>
  <c r="AP78"/>
  <c r="AP46"/>
  <c r="AP14"/>
  <c r="AP87"/>
  <c r="AP55"/>
  <c r="AP85"/>
  <c r="AP21"/>
  <c r="AP66"/>
  <c r="AP34"/>
  <c r="AP17"/>
  <c r="AP75"/>
  <c r="AP43"/>
  <c r="AP57"/>
  <c r="AP16"/>
  <c r="AP48"/>
  <c r="AP80"/>
  <c r="AP65"/>
  <c r="AP28"/>
  <c r="AP60"/>
  <c r="AP77"/>
  <c r="AP86"/>
  <c r="AP54"/>
  <c r="AP22"/>
  <c r="AP5"/>
  <c r="AP63"/>
  <c r="AP15"/>
  <c r="AP37"/>
  <c r="AP74"/>
  <c r="AP42"/>
  <c r="AP10"/>
  <c r="AP83"/>
  <c r="AP51"/>
  <c r="AP19"/>
  <c r="AP23"/>
  <c r="AP41"/>
  <c r="AP8"/>
  <c r="AP40"/>
  <c r="AP72"/>
  <c r="AP49"/>
  <c r="AP20"/>
  <c r="AP52"/>
  <c r="AP84"/>
  <c r="AP29"/>
  <c r="AP62"/>
  <c r="AP30"/>
  <c r="AP13"/>
  <c r="AP71"/>
  <c r="AP31"/>
  <c r="AP53"/>
  <c r="AP82"/>
  <c r="AP50"/>
  <c r="AP18"/>
  <c r="AP91"/>
  <c r="AP59"/>
  <c r="AP27"/>
  <c r="AP11"/>
  <c r="AP4"/>
  <c r="AU37" a="1"/>
  <c r="L85" i="20" l="1"/>
  <c r="K86"/>
  <c r="L86"/>
  <c r="Q28" i="21"/>
  <c r="Q27"/>
  <c r="R28"/>
  <c r="R27"/>
  <c r="AU38" i="12"/>
  <c r="AU50"/>
  <c r="AU48"/>
  <c r="AU45"/>
  <c r="AU41"/>
  <c r="AU46"/>
  <c r="AU44"/>
  <c r="AU43"/>
  <c r="AU37"/>
  <c r="AU42"/>
  <c r="AU40"/>
  <c r="AU39"/>
  <c r="AU49"/>
  <c r="AU47"/>
  <c r="AO10" l="1"/>
  <c r="AO42"/>
  <c r="AO74"/>
  <c r="AO20"/>
  <c r="AO52"/>
  <c r="AO84"/>
  <c r="AO31"/>
  <c r="AO63"/>
  <c r="AO5"/>
  <c r="AO37"/>
  <c r="AO6"/>
  <c r="AO38"/>
  <c r="AO70"/>
  <c r="AO16"/>
  <c r="AO48"/>
  <c r="AO80"/>
  <c r="AO27"/>
  <c r="AO59"/>
  <c r="AO91"/>
  <c r="AO33"/>
  <c r="AO65"/>
  <c r="AO45"/>
  <c r="AO34"/>
  <c r="AO66"/>
  <c r="AO12"/>
  <c r="AO44"/>
  <c r="AO76"/>
  <c r="AO23"/>
  <c r="AO55"/>
  <c r="AO87"/>
  <c r="AO29"/>
  <c r="AO85"/>
  <c r="AO30"/>
  <c r="AO62"/>
  <c r="AO8"/>
  <c r="AO40"/>
  <c r="AO72"/>
  <c r="AO19"/>
  <c r="AO51"/>
  <c r="AO83"/>
  <c r="AO25"/>
  <c r="AO57"/>
  <c r="AO89"/>
  <c r="AO77"/>
  <c r="AO26"/>
  <c r="AO58"/>
  <c r="AO90"/>
  <c r="AO36"/>
  <c r="AO68"/>
  <c r="AO15"/>
  <c r="AO47"/>
  <c r="AO79"/>
  <c r="AO21"/>
  <c r="AO69"/>
  <c r="AO22"/>
  <c r="AO54"/>
  <c r="AO86"/>
  <c r="AO32"/>
  <c r="AO64"/>
  <c r="AO11"/>
  <c r="AO43"/>
  <c r="AO75"/>
  <c r="AO17"/>
  <c r="AO49"/>
  <c r="AO81"/>
  <c r="AO18"/>
  <c r="AO50"/>
  <c r="AO82"/>
  <c r="AO28"/>
  <c r="AO60"/>
  <c r="AO7"/>
  <c r="AO39"/>
  <c r="AO71"/>
  <c r="AO13"/>
  <c r="AO53"/>
  <c r="AO14"/>
  <c r="AO46"/>
  <c r="AO78"/>
  <c r="AO24"/>
  <c r="AO56"/>
  <c r="AO88"/>
  <c r="AO35"/>
  <c r="AO67"/>
  <c r="AO9"/>
  <c r="AO41"/>
  <c r="AO73"/>
  <c r="AO61"/>
  <c r="AO4"/>
  <c r="AW40" s="1"/>
</calcChain>
</file>

<file path=xl/sharedStrings.xml><?xml version="1.0" encoding="utf-8"?>
<sst xmlns="http://schemas.openxmlformats.org/spreadsheetml/2006/main" count="624" uniqueCount="270">
  <si>
    <t>Exercício 1</t>
  </si>
  <si>
    <t>obs</t>
  </si>
  <si>
    <t>BRENT</t>
  </si>
  <si>
    <t>COMB</t>
  </si>
  <si>
    <t>FISC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</si>
  <si>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</si>
  <si>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</si>
  <si>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</si>
  <si>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</si>
  <si>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</si>
  <si>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</si>
  <si>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</si>
  <si>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</si>
  <si>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</si>
  <si>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</si>
  <si>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</si>
  <si>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</si>
  <si>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</si>
  <si>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</si>
  <si>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</si>
  <si>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</si>
  <si>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</si>
  <si>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</si>
  <si>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</si>
  <si>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</si>
  <si>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</si>
  <si>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</si>
  <si>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</si>
  <si>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</si>
  <si>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</si>
  <si>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</si>
  <si>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</si>
  <si>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</si>
  <si>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</si>
  <si>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</si>
  <si>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</si>
  <si>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</si>
  <si>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</si>
  <si>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</si>
  <si>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</si>
  <si>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</si>
  <si>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</si>
  <si>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</si>
  <si>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</si>
  <si>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</si>
  <si>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Exercício 8</t>
  </si>
  <si>
    <t>Date</t>
  </si>
  <si>
    <t>Spot</t>
  </si>
  <si>
    <t>Futures</t>
  </si>
  <si>
    <t>Advert</t>
  </si>
  <si>
    <t>Price</t>
  </si>
  <si>
    <t>Sales</t>
  </si>
  <si>
    <t>Exercício 2</t>
  </si>
  <si>
    <t>Exercício 4</t>
  </si>
  <si>
    <t>EXPER</t>
  </si>
  <si>
    <t>MASC</t>
  </si>
  <si>
    <t>SAL</t>
  </si>
  <si>
    <t>Exercício 5</t>
  </si>
  <si>
    <t>RIQ</t>
  </si>
  <si>
    <t>REND</t>
  </si>
  <si>
    <t>CONS</t>
  </si>
  <si>
    <t>Exercício 6</t>
  </si>
  <si>
    <t>Exercício 7</t>
  </si>
  <si>
    <t>582.66</t>
  </si>
  <si>
    <t>689.91</t>
  </si>
  <si>
    <t>416.52</t>
  </si>
  <si>
    <t>412.23</t>
  </si>
  <si>
    <t>664.95</t>
  </si>
  <si>
    <t>415.35</t>
  </si>
  <si>
    <t>708.63</t>
  </si>
  <si>
    <t>571.35</t>
  </si>
  <si>
    <t>498.81</t>
  </si>
  <si>
    <t>443.43</t>
  </si>
  <si>
    <t>422.76</t>
  </si>
  <si>
    <t>398.19</t>
  </si>
  <si>
    <t>703.56</t>
  </si>
  <si>
    <t>577.59</t>
  </si>
  <si>
    <t>525.72</t>
  </si>
  <si>
    <t>349.38</t>
  </si>
  <si>
    <t>292.95</t>
  </si>
  <si>
    <t>387.45</t>
  </si>
  <si>
    <t>307.53</t>
  </si>
  <si>
    <t>293.22</t>
  </si>
  <si>
    <t>306.72</t>
  </si>
  <si>
    <t>424.44</t>
  </si>
  <si>
    <t>321.57</t>
  </si>
  <si>
    <t>=TYPE(G6)</t>
  </si>
  <si>
    <t>=TYPE(G4)</t>
  </si>
  <si>
    <t>coluna(G)</t>
  </si>
  <si>
    <t>=TYPE(G12)</t>
  </si>
  <si>
    <t>text</t>
  </si>
  <si>
    <t>num</t>
  </si>
  <si>
    <t>n</t>
  </si>
  <si>
    <t>(X'X)=</t>
  </si>
  <si>
    <r>
      <t>(X'X)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=</t>
    </r>
  </si>
  <si>
    <t>(X'Y)=</t>
  </si>
  <si>
    <t>β=</t>
  </si>
  <si>
    <t>=REPLACE(G15;4;1;",")</t>
  </si>
  <si>
    <t>=VALUE(K15)</t>
  </si>
  <si>
    <t>Dspot</t>
  </si>
  <si>
    <t>Yestimado</t>
  </si>
  <si>
    <t>Dfutures</t>
  </si>
  <si>
    <t>Dspot(media)</t>
  </si>
  <si>
    <t>erro</t>
  </si>
  <si>
    <t>erro1</t>
  </si>
  <si>
    <t>erro2</t>
  </si>
  <si>
    <t>SQE</t>
  </si>
  <si>
    <t>SQT</t>
  </si>
  <si>
    <t>SQR</t>
  </si>
  <si>
    <t>log(sales)</t>
  </si>
  <si>
    <t>log(advert)</t>
  </si>
  <si>
    <t>advert</t>
  </si>
  <si>
    <t>sales</t>
  </si>
  <si>
    <t>Advert^2</t>
  </si>
  <si>
    <t>σ=</t>
  </si>
  <si>
    <r>
      <t>e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</si>
  <si>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R=</t>
  </si>
  <si>
    <t>r=</t>
  </si>
  <si>
    <r>
      <t>(R</t>
    </r>
    <r>
      <rPr>
        <b/>
        <sz val="11"/>
        <color theme="1"/>
        <rFont val="Calibri"/>
        <family val="2"/>
      </rPr>
      <t>β-r)=</t>
    </r>
  </si>
  <si>
    <r>
      <t>VAR(</t>
    </r>
    <r>
      <rPr>
        <b/>
        <sz val="11"/>
        <color theme="1"/>
        <rFont val="Calibri"/>
        <family val="2"/>
      </rPr>
      <t>β)</t>
    </r>
    <r>
      <rPr>
        <b/>
        <sz val="11"/>
        <color theme="1"/>
        <rFont val="Calibri"/>
        <family val="2"/>
        <scheme val="minor"/>
      </rPr>
      <t>=</t>
    </r>
  </si>
  <si>
    <r>
      <t>(RVAR(</t>
    </r>
    <r>
      <rPr>
        <b/>
        <sz val="11"/>
        <color theme="1"/>
        <rFont val="Calibri"/>
        <family val="2"/>
      </rPr>
      <t>β)</t>
    </r>
    <r>
      <rPr>
        <b/>
        <sz val="11"/>
        <color theme="1"/>
        <rFont val="Calibri"/>
        <family val="2"/>
        <scheme val="minor"/>
      </rPr>
      <t>R')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=</t>
    </r>
  </si>
  <si>
    <t>Estat</t>
  </si>
  <si>
    <t>=MMULT(J63:M63;J22:J25)-J64</t>
  </si>
  <si>
    <t>=MINVERSE(MMULT(MMULT(J63:M63;J57:M60);TRANSPOSE(J63:M63)))</t>
  </si>
  <si>
    <t>=MMULT(J71:M73;J22:J25)-J75:J77</t>
  </si>
  <si>
    <r>
      <t>(R</t>
    </r>
    <r>
      <rPr>
        <b/>
        <sz val="11"/>
        <color theme="1"/>
        <rFont val="Calibri"/>
        <family val="2"/>
      </rPr>
      <t>β-r)'=</t>
    </r>
  </si>
  <si>
    <t>Fem</t>
  </si>
  <si>
    <t>Masc</t>
  </si>
  <si>
    <r>
      <t>VAR(</t>
    </r>
    <r>
      <rPr>
        <b/>
        <sz val="11"/>
        <color theme="1"/>
        <rFont val="Calibri"/>
        <family val="2"/>
      </rPr>
      <t>β)=</t>
    </r>
  </si>
  <si>
    <t>Est=</t>
  </si>
  <si>
    <t>alínea 4)</t>
  </si>
  <si>
    <t>MASC*Exper</t>
  </si>
  <si>
    <t>Est(Chi)=</t>
  </si>
  <si>
    <t>q=</t>
  </si>
  <si>
    <t>nº de restrições</t>
  </si>
  <si>
    <t>Est(F)=</t>
  </si>
  <si>
    <t>ρ(ren;driq)=</t>
  </si>
  <si>
    <t>correl=</t>
  </si>
  <si>
    <t>AT</t>
  </si>
  <si>
    <t>AH</t>
  </si>
  <si>
    <t>P</t>
  </si>
  <si>
    <t>QT</t>
  </si>
  <si>
    <t>AH^2</t>
  </si>
  <si>
    <r>
      <t>AT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</si>
  <si>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AH</t>
    </r>
    <r>
      <rPr>
        <b/>
        <vertAlign val="superscript"/>
        <sz val="11"/>
        <color theme="1"/>
        <rFont val="Calibri"/>
        <family val="2"/>
        <scheme val="minor"/>
      </rPr>
      <t>4</t>
    </r>
  </si>
  <si>
    <r>
      <t>QT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</si>
  <si>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AT*AH</t>
  </si>
  <si>
    <r>
      <t>AH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</si>
  <si>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AT*AH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</si>
  <si>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AT*QT</t>
  </si>
  <si>
    <t>AH*QT</t>
  </si>
  <si>
    <r>
      <t>AH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*QT</t>
    </r>
  </si>
  <si>
    <r>
      <t>AH</t>
    </r>
    <r>
      <rPr>
        <b/>
        <vertAlign val="superscript"/>
        <sz val="11"/>
        <color theme="1"/>
        <rFont val="Calibri"/>
        <family val="2"/>
        <scheme val="minor"/>
      </rPr>
      <t>3</t>
    </r>
  </si>
  <si>
    <r>
      <t>E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</si>
  <si>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Y(media)=</t>
  </si>
  <si>
    <t>SST</t>
  </si>
  <si>
    <r>
      <t>R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=</t>
    </r>
  </si>
  <si>
    <r>
      <t>nR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</si>
  <si>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ScaledSS</t>
  </si>
  <si>
    <r>
      <t>σ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(BP)=</t>
    </r>
  </si>
  <si>
    <t>ESS</t>
  </si>
  <si>
    <t>F-Statist</t>
  </si>
  <si>
    <t>Matriz(X*)</t>
  </si>
  <si>
    <t>Procedimento de White</t>
  </si>
  <si>
    <r>
      <t>Var(β</t>
    </r>
    <r>
      <rPr>
        <b/>
        <vertAlign val="subscript"/>
        <sz val="14"/>
        <color theme="1"/>
        <rFont val="Calibri"/>
        <family val="2"/>
      </rPr>
      <t>OLS</t>
    </r>
    <r>
      <rPr>
        <b/>
        <sz val="14"/>
        <color theme="1"/>
        <rFont val="Calibri"/>
        <family val="2"/>
      </rPr>
      <t>)=</t>
    </r>
  </si>
  <si>
    <r>
      <t>(XX)</t>
    </r>
    <r>
      <rPr>
        <b/>
        <vertAlign val="superscript"/>
        <sz val="14"/>
        <color theme="1"/>
        <rFont val="Calibri"/>
        <family val="2"/>
        <scheme val="minor"/>
      </rPr>
      <t>-1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S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(X'X)</t>
    </r>
    <r>
      <rPr>
        <b/>
        <vertAlign val="superscript"/>
        <sz val="14"/>
        <color theme="1"/>
        <rFont val="Calibri"/>
        <family val="2"/>
        <scheme val="minor"/>
      </rPr>
      <t>-1</t>
    </r>
  </si>
  <si>
    <t>S=</t>
  </si>
  <si>
    <r>
      <t>n/(n-k)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X'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M(e</t>
    </r>
    <r>
      <rPr>
        <b/>
        <vertAlign val="subscript"/>
        <sz val="14"/>
        <color theme="1"/>
        <rFont val="Calibri"/>
        <family val="2"/>
        <scheme val="minor"/>
      </rPr>
      <t>i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X</t>
    </r>
  </si>
  <si>
    <t>n=</t>
  </si>
  <si>
    <t>k=</t>
  </si>
  <si>
    <r>
      <t>n/(n-k)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(X*)'</t>
    </r>
    <r>
      <rPr>
        <b/>
        <vertAlign val="subscript"/>
        <sz val="14"/>
        <color theme="1"/>
        <rFont val="Calibri"/>
        <family val="2"/>
        <scheme val="minor"/>
      </rPr>
      <t>*</t>
    </r>
    <r>
      <rPr>
        <b/>
        <sz val="14"/>
        <color theme="1"/>
        <rFont val="Calibri"/>
        <family val="2"/>
        <scheme val="minor"/>
      </rPr>
      <t>(X)</t>
    </r>
  </si>
  <si>
    <t>β</t>
  </si>
  <si>
    <t>Std error</t>
  </si>
  <si>
    <t>t-statist</t>
  </si>
  <si>
    <t>Col</t>
  </si>
  <si>
    <t>e2</t>
  </si>
  <si>
    <r>
      <t>∑e</t>
    </r>
    <r>
      <rPr>
        <b/>
        <vertAlign val="superscript"/>
        <sz val="11"/>
        <color theme="1"/>
        <rFont val="Calibri"/>
        <family val="2"/>
      </rPr>
      <t>2</t>
    </r>
    <r>
      <rPr>
        <b/>
        <sz val="11"/>
        <color theme="1"/>
        <rFont val="Calibri"/>
        <family val="2"/>
      </rPr>
      <t xml:space="preserve"> Total</t>
    </r>
  </si>
  <si>
    <r>
      <t>∑e</t>
    </r>
    <r>
      <rPr>
        <b/>
        <vertAlign val="superscript"/>
        <sz val="11"/>
        <color theme="1"/>
        <rFont val="Calibri"/>
        <family val="2"/>
      </rPr>
      <t>2</t>
    </r>
    <r>
      <rPr>
        <b/>
        <sz val="11"/>
        <color theme="1"/>
        <rFont val="Calibri"/>
        <family val="2"/>
      </rPr>
      <t xml:space="preserve"> Colonial</t>
    </r>
  </si>
  <si>
    <r>
      <t>∑e</t>
    </r>
    <r>
      <rPr>
        <b/>
        <vertAlign val="superscript"/>
        <sz val="11"/>
        <color theme="1"/>
        <rFont val="Calibri"/>
        <family val="2"/>
      </rPr>
      <t>2</t>
    </r>
    <r>
      <rPr>
        <b/>
        <sz val="11"/>
        <color theme="1"/>
        <rFont val="Calibri"/>
        <family val="2"/>
      </rPr>
      <t xml:space="preserve"> NãoColonial</t>
    </r>
  </si>
  <si>
    <t>k</t>
  </si>
  <si>
    <t>EstChow</t>
  </si>
  <si>
    <t>Tete Gujarati</t>
  </si>
  <si>
    <t>Teste Chow</t>
  </si>
  <si>
    <t>Col*AT</t>
  </si>
  <si>
    <t>Col*AH</t>
  </si>
  <si>
    <t>Col*AH^2</t>
  </si>
  <si>
    <t>Col*QT</t>
  </si>
  <si>
    <r>
      <t>R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vertAlign val="subscript"/>
        <sz val="11"/>
        <color theme="1"/>
        <rFont val="Calibri"/>
        <family val="2"/>
        <scheme val="minor"/>
      </rPr>
      <t>II</t>
    </r>
    <r>
      <rPr>
        <b/>
        <sz val="11"/>
        <color theme="1"/>
        <rFont val="Calibri"/>
        <family val="2"/>
        <scheme val="minor"/>
      </rPr>
      <t>=</t>
    </r>
  </si>
  <si>
    <r>
      <t>R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vertAlign val="subscript"/>
        <sz val="11"/>
        <color theme="1"/>
        <rFont val="Calibri"/>
        <family val="2"/>
        <scheme val="minor"/>
      </rPr>
      <t>I</t>
    </r>
    <r>
      <rPr>
        <b/>
        <sz val="11"/>
        <color theme="1"/>
        <rFont val="Calibri"/>
        <family val="2"/>
        <scheme val="minor"/>
      </rPr>
      <t>=</t>
    </r>
  </si>
  <si>
    <t>F-Statistic</t>
  </si>
  <si>
    <t>Wald Test</t>
  </si>
  <si>
    <t>(5*10)</t>
  </si>
  <si>
    <t>(5*1)</t>
  </si>
  <si>
    <t>(10*1)</t>
  </si>
  <si>
    <r>
      <t xml:space="preserve">     (R</t>
    </r>
    <r>
      <rPr>
        <b/>
        <sz val="11"/>
        <color theme="1"/>
        <rFont val="Calibri"/>
        <family val="2"/>
      </rPr>
      <t>β-r)' * [RVAR(β)R']</t>
    </r>
    <r>
      <rPr>
        <b/>
        <vertAlign val="superscript"/>
        <sz val="11"/>
        <color theme="1"/>
        <rFont val="Calibri"/>
        <family val="2"/>
      </rPr>
      <t xml:space="preserve">-1 </t>
    </r>
    <r>
      <rPr>
        <b/>
        <sz val="11"/>
        <color theme="1"/>
        <rFont val="Calibri"/>
        <family val="2"/>
      </rPr>
      <t>* (Rβ-r)=</t>
    </r>
  </si>
  <si>
    <t>Durbin Watson</t>
  </si>
  <si>
    <t>Ln(comb)</t>
  </si>
  <si>
    <t>Ln(fisc)</t>
  </si>
  <si>
    <t>Ln(brent)</t>
  </si>
  <si>
    <t>y(media)</t>
  </si>
  <si>
    <t>e</t>
  </si>
  <si>
    <r>
      <t>e</t>
    </r>
    <r>
      <rPr>
        <b/>
        <vertAlign val="subscript"/>
        <sz val="11"/>
        <color theme="1"/>
        <rFont val="Calibri"/>
        <family val="2"/>
        <scheme val="minor"/>
      </rPr>
      <t>1</t>
    </r>
  </si>
  <si>
    <r>
      <t>e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</si>
  <si>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(e-e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>)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</si>
  <si>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DW=</t>
  </si>
  <si>
    <t>=SUMXMY2(J7:J45;J6:J44)</t>
  </si>
  <si>
    <t>=SUMSQ(J6:J45)</t>
  </si>
  <si>
    <t>Y(media)</t>
  </si>
  <si>
    <r>
      <t>(n*R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</si>
  <si>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Breusch-Godfrey (Eviews)</t>
  </si>
  <si>
    <r>
      <t>Breusch-Godfrey (Regressão auxiliar</t>
    </r>
    <r>
      <rPr>
        <b/>
        <sz val="14"/>
        <color theme="1"/>
        <rFont val="Calibri"/>
        <family val="2"/>
        <scheme val="minor"/>
      </rPr>
      <t xml:space="preserve"> com</t>
    </r>
    <r>
      <rPr>
        <b/>
        <sz val="11"/>
        <color theme="1"/>
        <rFont val="Calibri"/>
        <family val="2"/>
        <scheme val="minor"/>
      </rPr>
      <t xml:space="preserve"> correção da amostra)</t>
    </r>
  </si>
  <si>
    <r>
      <t xml:space="preserve">Breusch-Godfrey (Regressão auxiliar </t>
    </r>
    <r>
      <rPr>
        <b/>
        <u/>
        <sz val="14"/>
        <color theme="1"/>
        <rFont val="Calibri"/>
        <family val="2"/>
        <scheme val="minor"/>
      </rPr>
      <t>sem</t>
    </r>
    <r>
      <rPr>
        <b/>
        <u/>
        <sz val="11"/>
        <color theme="1"/>
        <rFont val="Calibri"/>
        <family val="2"/>
        <scheme val="minor"/>
      </rPr>
      <t xml:space="preserve"> correção da amostra)</t>
    </r>
  </si>
  <si>
    <t>n=40</t>
  </si>
  <si>
    <t>n=38</t>
  </si>
  <si>
    <t>F-statist</t>
  </si>
  <si>
    <t>HAC(Newey-West)</t>
  </si>
  <si>
    <t>cons</t>
  </si>
  <si>
    <t>sal</t>
  </si>
  <si>
    <t>R2=</t>
  </si>
  <si>
    <t>BD</t>
  </si>
  <si>
    <r>
      <t>var(</t>
    </r>
    <r>
      <rPr>
        <b/>
        <sz val="11"/>
        <color theme="1"/>
        <rFont val="Calibri"/>
        <family val="2"/>
      </rPr>
      <t>β)=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</si>
  <si>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1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</si>
  <si>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</si>
  <si>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</si>
  <si>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</si>
  <si>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u1</t>
  </si>
  <si>
    <t>u2</t>
  </si>
  <si>
    <t>u3</t>
  </si>
  <si>
    <t>(X')*(u)»(u')*(X)</t>
  </si>
  <si>
    <t>X1</t>
  </si>
  <si>
    <t>X2</t>
  </si>
  <si>
    <t>X3</t>
  </si>
  <si>
    <t>(n*1)</t>
  </si>
  <si>
    <t>(n*k)</t>
  </si>
  <si>
    <t>(n*n)</t>
  </si>
  <si>
    <t>u3*u3</t>
  </si>
  <si>
    <r>
      <t>var(</t>
    </r>
    <r>
      <rPr>
        <b/>
        <sz val="11"/>
        <color theme="1"/>
        <rFont val="Calibri"/>
        <family val="2"/>
      </rPr>
      <t>β</t>
    </r>
    <r>
      <rPr>
        <b/>
        <vertAlign val="subscript"/>
        <sz val="11"/>
        <color theme="1"/>
        <rFont val="Calibri"/>
        <family val="2"/>
      </rPr>
      <t>NW</t>
    </r>
    <r>
      <rPr>
        <b/>
        <sz val="11"/>
        <color theme="1"/>
        <rFont val="Calibri"/>
        <family val="2"/>
      </rPr>
      <t>)=</t>
    </r>
  </si>
  <si>
    <t>u3*u2</t>
  </si>
  <si>
    <t>u3*u1</t>
  </si>
  <si>
    <t>u2*u1</t>
  </si>
  <si>
    <t>u4</t>
  </si>
  <si>
    <t>u4u3</t>
  </si>
  <si>
    <t>u4u2</t>
  </si>
  <si>
    <t>u4u1</t>
  </si>
  <si>
    <t>u3u2</t>
  </si>
  <si>
    <t>u3u1</t>
  </si>
  <si>
    <t>u2u1</t>
  </si>
  <si>
    <t>X4</t>
  </si>
  <si>
    <t>A</t>
  </si>
  <si>
    <t>B</t>
  </si>
  <si>
    <t>C</t>
  </si>
  <si>
    <t>D</t>
  </si>
  <si>
    <t>E</t>
  </si>
  <si>
    <t>F</t>
  </si>
  <si>
    <t>u4u4</t>
  </si>
  <si>
    <t>?</t>
  </si>
  <si>
    <t>t=1</t>
  </si>
  <si>
    <t>T</t>
  </si>
  <si>
    <t>j=1</t>
  </si>
  <si>
    <t>M</t>
  </si>
  <si>
    <t>∑  [1 - j/(M+1)]*</t>
  </si>
  <si>
    <t>t=j+1</t>
  </si>
  <si>
    <r>
      <t>∑  (u</t>
    </r>
    <r>
      <rPr>
        <b/>
        <vertAlign val="subscript"/>
        <sz val="14"/>
        <color theme="1"/>
        <rFont val="Calibri"/>
        <family val="2"/>
      </rPr>
      <t>t</t>
    </r>
    <r>
      <rPr>
        <b/>
        <vertAlign val="superscript"/>
        <sz val="14"/>
        <color theme="1"/>
        <rFont val="Calibri"/>
        <family val="2"/>
      </rPr>
      <t>2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')  +</t>
    </r>
  </si>
  <si>
    <r>
      <t>∑  [u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u</t>
    </r>
    <r>
      <rPr>
        <b/>
        <vertAlign val="subscript"/>
        <sz val="14"/>
        <color theme="1"/>
        <rFont val="Calibri"/>
        <family val="2"/>
      </rPr>
      <t>t-j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t-j</t>
    </r>
    <r>
      <rPr>
        <b/>
        <sz val="14"/>
        <color theme="1"/>
        <rFont val="Calibri"/>
        <family val="2"/>
      </rPr>
      <t>'  + u</t>
    </r>
    <r>
      <rPr>
        <b/>
        <vertAlign val="subscript"/>
        <sz val="14"/>
        <color theme="1"/>
        <rFont val="Calibri"/>
        <family val="2"/>
      </rPr>
      <t>t-j</t>
    </r>
    <r>
      <rPr>
        <b/>
        <sz val="14"/>
        <color theme="1"/>
        <rFont val="Calibri"/>
        <family val="2"/>
      </rPr>
      <t>u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t-j</t>
    </r>
    <r>
      <rPr>
        <b/>
        <sz val="14"/>
        <color theme="1"/>
        <rFont val="Calibri"/>
        <family val="2"/>
      </rPr>
      <t>*X</t>
    </r>
    <r>
      <rPr>
        <b/>
        <vertAlign val="subscript"/>
        <sz val="14"/>
        <color theme="1"/>
        <rFont val="Calibri"/>
        <family val="2"/>
      </rPr>
      <t>t</t>
    </r>
    <r>
      <rPr>
        <b/>
        <sz val="14"/>
        <color theme="1"/>
        <rFont val="Calibri"/>
        <family val="2"/>
      </rPr>
      <t>' ]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</si>
  <si>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</si>
  <si>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erro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</si>
  <si>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This one is to consider?</t>
  </si>
  <si>
    <r>
      <t>u4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</si>
  <si>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y(average)</t>
  </si>
  <si>
    <t>DataBase</t>
  </si>
</sst>
</file>

<file path=xl/styles.xml><?xml version="1.0" encoding="utf-8"?>
<styleSheet xmlns="http://schemas.openxmlformats.org/spreadsheetml/2006/main">
  <numFmts count="9">
    <numFmt numFmtId="164" formatCode="0.0000000000"/>
    <numFmt numFmtId="165" formatCode="#,##0.0000000"/>
    <numFmt numFmtId="166" formatCode="#,##0.00000000"/>
    <numFmt numFmtId="167" formatCode="#,##0.000000000"/>
    <numFmt numFmtId="168" formatCode="#,##0.00000"/>
    <numFmt numFmtId="169" formatCode="#,##0.0000000000"/>
    <numFmt numFmtId="170" formatCode="0.000000"/>
    <numFmt numFmtId="171" formatCode="0.00000"/>
    <numFmt numFmtId="172" formatCode="#,##0.0000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vertAlign val="subscript"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</font>
    <font>
      <b/>
      <vertAlign val="subscript"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vertAlign val="superscript"/>
      <sz val="14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1" xfId="0" applyFont="1" applyBorder="1"/>
    <xf numFmtId="3" fontId="0" fillId="0" borderId="0" xfId="0" applyNumberFormat="1"/>
    <xf numFmtId="1" fontId="0" fillId="0" borderId="0" xfId="0" applyNumberFormat="1"/>
    <xf numFmtId="0" fontId="2" fillId="2" borderId="0" xfId="0" applyFont="1" applyFill="1"/>
    <xf numFmtId="0" fontId="0" fillId="2" borderId="0" xfId="0" applyFill="1"/>
    <xf numFmtId="0" fontId="2" fillId="3" borderId="0" xfId="0" applyFont="1" applyFill="1"/>
    <xf numFmtId="0" fontId="0" fillId="3" borderId="0" xfId="0" applyFill="1"/>
    <xf numFmtId="17" fontId="0" fillId="3" borderId="0" xfId="0" applyNumberFormat="1" applyFill="1"/>
    <xf numFmtId="0" fontId="2" fillId="4" borderId="0" xfId="0" applyFont="1" applyFill="1"/>
    <xf numFmtId="0" fontId="0" fillId="4" borderId="0" xfId="0" applyFill="1"/>
    <xf numFmtId="0" fontId="2" fillId="5" borderId="0" xfId="0" applyFont="1" applyFill="1"/>
    <xf numFmtId="0" fontId="0" fillId="5" borderId="0" xfId="0" applyFill="1"/>
    <xf numFmtId="0" fontId="1" fillId="5" borderId="0" xfId="0" applyFont="1" applyFill="1" applyAlignment="1">
      <alignment horizontal="center"/>
    </xf>
    <xf numFmtId="168" fontId="0" fillId="5" borderId="0" xfId="0" applyNumberFormat="1" applyFill="1"/>
    <xf numFmtId="0" fontId="2" fillId="6" borderId="0" xfId="0" applyFont="1" applyFill="1"/>
    <xf numFmtId="0" fontId="0" fillId="6" borderId="0" xfId="0" applyFill="1"/>
    <xf numFmtId="3" fontId="1" fillId="6" borderId="0" xfId="0" applyNumberFormat="1" applyFont="1" applyFill="1" applyAlignment="1">
      <alignment horizontal="center"/>
    </xf>
    <xf numFmtId="3" fontId="0" fillId="6" borderId="0" xfId="0" applyNumberFormat="1" applyFill="1"/>
    <xf numFmtId="0" fontId="2" fillId="7" borderId="0" xfId="0" applyFont="1" applyFill="1"/>
    <xf numFmtId="0" fontId="0" fillId="7" borderId="0" xfId="0" applyFill="1"/>
    <xf numFmtId="0" fontId="2" fillId="8" borderId="0" xfId="0" applyFont="1" applyFill="1"/>
    <xf numFmtId="0" fontId="0" fillId="8" borderId="0" xfId="0" applyFill="1"/>
    <xf numFmtId="0" fontId="1" fillId="8" borderId="0" xfId="0" applyFont="1" applyFill="1" applyAlignment="1">
      <alignment horizontal="center"/>
    </xf>
    <xf numFmtId="164" fontId="0" fillId="8" borderId="0" xfId="0" applyNumberFormat="1" applyFill="1"/>
    <xf numFmtId="165" fontId="0" fillId="8" borderId="0" xfId="0" applyNumberFormat="1" applyFill="1"/>
    <xf numFmtId="166" fontId="0" fillId="8" borderId="0" xfId="0" applyNumberFormat="1" applyFill="1"/>
    <xf numFmtId="167" fontId="0" fillId="8" borderId="0" xfId="0" applyNumberFormat="1" applyFill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/>
    <xf numFmtId="3" fontId="0" fillId="0" borderId="2" xfId="0" applyNumberFormat="1" applyBorder="1"/>
    <xf numFmtId="1" fontId="0" fillId="0" borderId="0" xfId="0" quotePrefix="1" applyNumberFormat="1"/>
    <xf numFmtId="2" fontId="0" fillId="0" borderId="2" xfId="0" applyNumberFormat="1" applyBorder="1"/>
    <xf numFmtId="1" fontId="0" fillId="0" borderId="0" xfId="0" applyNumberFormat="1" applyAlignment="1">
      <alignment horizontal="right"/>
    </xf>
    <xf numFmtId="169" fontId="0" fillId="0" borderId="0" xfId="0" applyNumberFormat="1"/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0" xfId="0" quotePrefix="1"/>
    <xf numFmtId="1" fontId="0" fillId="0" borderId="0" xfId="0" quotePrefix="1" applyNumberFormat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0" xfId="0" applyFont="1"/>
    <xf numFmtId="0" fontId="1" fillId="0" borderId="6" xfId="0" applyFont="1" applyBorder="1"/>
    <xf numFmtId="0" fontId="0" fillId="0" borderId="0" xfId="0" applyFill="1" applyAlignment="1">
      <alignment horizontal="center"/>
    </xf>
    <xf numFmtId="0" fontId="1" fillId="0" borderId="0" xfId="0" applyFont="1" applyFill="1"/>
    <xf numFmtId="0" fontId="0" fillId="0" borderId="0" xfId="0" applyBorder="1"/>
    <xf numFmtId="0" fontId="1" fillId="0" borderId="0" xfId="0" applyFont="1" applyFill="1" applyBorder="1" applyAlignment="1">
      <alignment horizontal="right"/>
    </xf>
    <xf numFmtId="0" fontId="0" fillId="9" borderId="0" xfId="0" applyFill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0" fillId="0" borderId="5" xfId="0" applyFill="1" applyBorder="1"/>
    <xf numFmtId="3" fontId="1" fillId="0" borderId="0" xfId="0" applyNumberFormat="1" applyFont="1" applyFill="1" applyAlignment="1">
      <alignment horizontal="center"/>
    </xf>
    <xf numFmtId="3" fontId="0" fillId="0" borderId="0" xfId="0" applyNumberFormat="1" applyFill="1"/>
    <xf numFmtId="170" fontId="1" fillId="0" borderId="0" xfId="0" applyNumberFormat="1" applyFont="1"/>
    <xf numFmtId="0" fontId="0" fillId="10" borderId="0" xfId="0" applyFill="1"/>
    <xf numFmtId="0" fontId="1" fillId="10" borderId="0" xfId="0" applyFont="1" applyFill="1" applyAlignment="1">
      <alignment horizontal="center"/>
    </xf>
    <xf numFmtId="0" fontId="4" fillId="0" borderId="0" xfId="0" applyFont="1" applyBorder="1" applyAlignment="1">
      <alignment horizontal="right"/>
    </xf>
    <xf numFmtId="0" fontId="0" fillId="0" borderId="1" xfId="0" applyBorder="1"/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4" fontId="0" fillId="0" borderId="0" xfId="0" applyNumberFormat="1"/>
    <xf numFmtId="4" fontId="1" fillId="0" borderId="0" xfId="0" applyNumberFormat="1" applyFont="1" applyBorder="1"/>
    <xf numFmtId="0" fontId="1" fillId="0" borderId="6" xfId="0" applyFont="1" applyFill="1" applyBorder="1" applyAlignment="1">
      <alignment horizontal="center"/>
    </xf>
    <xf numFmtId="4" fontId="5" fillId="0" borderId="0" xfId="0" applyNumberFormat="1" applyFont="1"/>
    <xf numFmtId="0" fontId="1" fillId="0" borderId="0" xfId="0" applyFont="1" applyBorder="1"/>
    <xf numFmtId="0" fontId="6" fillId="0" borderId="0" xfId="0" applyFont="1"/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6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4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0" borderId="0" xfId="0" applyFont="1" applyAlignment="1"/>
    <xf numFmtId="164" fontId="0" fillId="0" borderId="0" xfId="0" applyNumberFormat="1" applyFill="1"/>
    <xf numFmtId="165" fontId="0" fillId="0" borderId="0" xfId="0" applyNumberFormat="1" applyFill="1"/>
    <xf numFmtId="166" fontId="0" fillId="0" borderId="0" xfId="0" applyNumberFormat="1" applyFill="1"/>
    <xf numFmtId="167" fontId="0" fillId="0" borderId="0" xfId="0" applyNumberFormat="1" applyFill="1"/>
    <xf numFmtId="1" fontId="0" fillId="0" borderId="0" xfId="0" applyNumberFormat="1" applyFill="1"/>
    <xf numFmtId="171" fontId="0" fillId="0" borderId="0" xfId="0" applyNumberFormat="1"/>
    <xf numFmtId="170" fontId="0" fillId="0" borderId="0" xfId="0" applyNumberFormat="1" applyFill="1"/>
    <xf numFmtId="170" fontId="0" fillId="0" borderId="0" xfId="0" applyNumberFormat="1"/>
    <xf numFmtId="0" fontId="15" fillId="0" borderId="0" xfId="0" quotePrefix="1" applyFont="1"/>
    <xf numFmtId="164" fontId="0" fillId="0" borderId="0" xfId="0" applyNumberFormat="1"/>
    <xf numFmtId="1" fontId="0" fillId="0" borderId="0" xfId="0" applyNumberFormat="1" applyFill="1" applyAlignment="1">
      <alignment horizontal="center"/>
    </xf>
    <xf numFmtId="170" fontId="0" fillId="0" borderId="4" xfId="0" applyNumberFormat="1" applyBorder="1"/>
    <xf numFmtId="0" fontId="1" fillId="9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164" fontId="0" fillId="0" borderId="0" xfId="0" applyNumberFormat="1" applyFill="1" applyBorder="1"/>
    <xf numFmtId="170" fontId="0" fillId="9" borderId="0" xfId="0" applyNumberFormat="1" applyFill="1"/>
    <xf numFmtId="0" fontId="5" fillId="0" borderId="0" xfId="0" applyFont="1" applyFill="1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0" fillId="7" borderId="8" xfId="0" applyFill="1" applyBorder="1"/>
    <xf numFmtId="0" fontId="0" fillId="7" borderId="4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Alignment="1">
      <alignment horizontal="center"/>
    </xf>
    <xf numFmtId="4" fontId="0" fillId="0" borderId="3" xfId="0" applyNumberFormat="1" applyBorder="1"/>
    <xf numFmtId="4" fontId="0" fillId="0" borderId="5" xfId="0" applyNumberFormat="1" applyBorder="1"/>
    <xf numFmtId="4" fontId="0" fillId="0" borderId="0" xfId="0" applyNumberFormat="1" applyBorder="1"/>
    <xf numFmtId="0" fontId="1" fillId="0" borderId="3" xfId="0" applyFont="1" applyBorder="1"/>
    <xf numFmtId="0" fontId="1" fillId="0" borderId="5" xfId="0" applyFont="1" applyBorder="1"/>
    <xf numFmtId="0" fontId="1" fillId="7" borderId="3" xfId="0" applyFont="1" applyFill="1" applyBorder="1"/>
    <xf numFmtId="0" fontId="1" fillId="7" borderId="5" xfId="0" applyFont="1" applyFill="1" applyBorder="1"/>
    <xf numFmtId="0" fontId="1" fillId="0" borderId="0" xfId="0" applyFont="1" applyFill="1" applyBorder="1"/>
    <xf numFmtId="172" fontId="0" fillId="0" borderId="3" xfId="0" applyNumberFormat="1" applyBorder="1"/>
    <xf numFmtId="172" fontId="0" fillId="0" borderId="5" xfId="0" applyNumberFormat="1" applyBorder="1"/>
    <xf numFmtId="172" fontId="0" fillId="0" borderId="0" xfId="0" applyNumberFormat="1"/>
    <xf numFmtId="172" fontId="0" fillId="11" borderId="0" xfId="0" applyNumberFormat="1" applyFill="1"/>
    <xf numFmtId="0" fontId="1" fillId="12" borderId="0" xfId="0" applyFont="1" applyFill="1" applyBorder="1"/>
    <xf numFmtId="0" fontId="0" fillId="12" borderId="0" xfId="0" applyFill="1" applyBorder="1"/>
    <xf numFmtId="0" fontId="0" fillId="12" borderId="3" xfId="0" applyFill="1" applyBorder="1"/>
    <xf numFmtId="0" fontId="0" fillId="12" borderId="5" xfId="0" applyFill="1" applyBorder="1"/>
    <xf numFmtId="0" fontId="18" fillId="0" borderId="0" xfId="0" applyFont="1"/>
    <xf numFmtId="0" fontId="0" fillId="12" borderId="0" xfId="0" applyFill="1"/>
    <xf numFmtId="0" fontId="8" fillId="0" borderId="0" xfId="0" applyFont="1"/>
    <xf numFmtId="0" fontId="0" fillId="7" borderId="11" xfId="0" applyFill="1" applyBorder="1"/>
    <xf numFmtId="4" fontId="0" fillId="9" borderId="3" xfId="0" applyNumberFormat="1" applyFill="1" applyBorder="1"/>
    <xf numFmtId="4" fontId="0" fillId="9" borderId="5" xfId="0" applyNumberFormat="1" applyFill="1" applyBorder="1"/>
    <xf numFmtId="4" fontId="0" fillId="9" borderId="0" xfId="0" applyNumberFormat="1" applyFill="1"/>
    <xf numFmtId="4" fontId="0" fillId="0" borderId="3" xfId="0" applyNumberFormat="1" applyFill="1" applyBorder="1"/>
    <xf numFmtId="4" fontId="0" fillId="0" borderId="5" xfId="0" applyNumberFormat="1" applyFill="1" applyBorder="1"/>
    <xf numFmtId="4" fontId="0" fillId="0" borderId="0" xfId="0" applyNumberFormat="1" applyFill="1"/>
    <xf numFmtId="0" fontId="0" fillId="0" borderId="0" xfId="0" applyAlignment="1">
      <alignment horizontal="right"/>
    </xf>
    <xf numFmtId="0" fontId="0" fillId="11" borderId="0" xfId="0" applyFill="1"/>
    <xf numFmtId="0" fontId="0" fillId="0" borderId="0" xfId="0" applyFill="1" applyBorder="1"/>
    <xf numFmtId="4" fontId="0" fillId="0" borderId="0" xfId="0" applyNumberFormat="1" applyFill="1" applyBorder="1"/>
    <xf numFmtId="0" fontId="10" fillId="0" borderId="0" xfId="0" applyFont="1" applyFill="1" applyBorder="1"/>
    <xf numFmtId="0" fontId="8" fillId="0" borderId="0" xfId="0" applyFont="1" applyFill="1" applyBorder="1"/>
    <xf numFmtId="172" fontId="0" fillId="0" borderId="14" xfId="0" applyNumberFormat="1" applyBorder="1"/>
    <xf numFmtId="172" fontId="0" fillId="0" borderId="15" xfId="0" applyNumberFormat="1" applyBorder="1"/>
    <xf numFmtId="172" fontId="0" fillId="0" borderId="16" xfId="0" applyNumberFormat="1" applyBorder="1"/>
    <xf numFmtId="172" fontId="0" fillId="0" borderId="17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9900"/>
      <color rgb="FF009900"/>
      <color rgb="FF9933FF"/>
      <color rgb="FFCC3399"/>
      <color rgb="FFCC0066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5" Type="http://schemas.openxmlformats.org/officeDocument/2006/relationships/image" Target="../media/image22.png"/><Relationship Id="rId4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28.png"/><Relationship Id="rId5" Type="http://schemas.openxmlformats.org/officeDocument/2006/relationships/image" Target="../media/image27.png"/><Relationship Id="rId4" Type="http://schemas.openxmlformats.org/officeDocument/2006/relationships/image" Target="../media/image2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7" Type="http://schemas.openxmlformats.org/officeDocument/2006/relationships/image" Target="../media/image41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Relationship Id="rId6" Type="http://schemas.openxmlformats.org/officeDocument/2006/relationships/image" Target="../media/image40.png"/><Relationship Id="rId5" Type="http://schemas.openxmlformats.org/officeDocument/2006/relationships/image" Target="../media/image39.png"/><Relationship Id="rId4" Type="http://schemas.openxmlformats.org/officeDocument/2006/relationships/image" Target="../media/image3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4.png"/><Relationship Id="rId7" Type="http://schemas.openxmlformats.org/officeDocument/2006/relationships/image" Target="../media/image48.png"/><Relationship Id="rId2" Type="http://schemas.openxmlformats.org/officeDocument/2006/relationships/image" Target="../media/image43.png"/><Relationship Id="rId1" Type="http://schemas.openxmlformats.org/officeDocument/2006/relationships/image" Target="../media/image42.png"/><Relationship Id="rId6" Type="http://schemas.openxmlformats.org/officeDocument/2006/relationships/image" Target="../media/image47.png"/><Relationship Id="rId5" Type="http://schemas.openxmlformats.org/officeDocument/2006/relationships/image" Target="../media/image46.png"/><Relationship Id="rId4" Type="http://schemas.openxmlformats.org/officeDocument/2006/relationships/image" Target="../media/image45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1.png"/><Relationship Id="rId2" Type="http://schemas.openxmlformats.org/officeDocument/2006/relationships/image" Target="../media/image50.png"/><Relationship Id="rId1" Type="http://schemas.openxmlformats.org/officeDocument/2006/relationships/image" Target="../media/image49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image" Target="../media/image53.png"/><Relationship Id="rId1" Type="http://schemas.openxmlformats.org/officeDocument/2006/relationships/image" Target="../media/image52.png"/><Relationship Id="rId6" Type="http://schemas.openxmlformats.org/officeDocument/2006/relationships/image" Target="../media/image57.png"/><Relationship Id="rId5" Type="http://schemas.openxmlformats.org/officeDocument/2006/relationships/image" Target="../media/image56.png"/><Relationship Id="rId4" Type="http://schemas.openxmlformats.org/officeDocument/2006/relationships/image" Target="../media/image55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0.png"/><Relationship Id="rId2" Type="http://schemas.openxmlformats.org/officeDocument/2006/relationships/image" Target="../media/image59.png"/><Relationship Id="rId1" Type="http://schemas.openxmlformats.org/officeDocument/2006/relationships/image" Target="../media/image58.png"/><Relationship Id="rId4" Type="http://schemas.openxmlformats.org/officeDocument/2006/relationships/image" Target="../media/image6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4.png"/><Relationship Id="rId2" Type="http://schemas.openxmlformats.org/officeDocument/2006/relationships/image" Target="../media/image63.png"/><Relationship Id="rId1" Type="http://schemas.openxmlformats.org/officeDocument/2006/relationships/image" Target="../media/image62.png"/><Relationship Id="rId4" Type="http://schemas.openxmlformats.org/officeDocument/2006/relationships/image" Target="../media/image6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9.png"/><Relationship Id="rId2" Type="http://schemas.openxmlformats.org/officeDocument/2006/relationships/image" Target="../media/image68.png"/><Relationship Id="rId1" Type="http://schemas.openxmlformats.org/officeDocument/2006/relationships/image" Target="../media/image67.png"/><Relationship Id="rId5" Type="http://schemas.openxmlformats.org/officeDocument/2006/relationships/image" Target="../media/image71.png"/><Relationship Id="rId4" Type="http://schemas.openxmlformats.org/officeDocument/2006/relationships/image" Target="../media/image70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4.png"/><Relationship Id="rId2" Type="http://schemas.openxmlformats.org/officeDocument/2006/relationships/image" Target="../media/image73.png"/><Relationship Id="rId1" Type="http://schemas.openxmlformats.org/officeDocument/2006/relationships/image" Target="../media/image72.png"/><Relationship Id="rId6" Type="http://schemas.openxmlformats.org/officeDocument/2006/relationships/image" Target="../media/image77.png"/><Relationship Id="rId5" Type="http://schemas.openxmlformats.org/officeDocument/2006/relationships/image" Target="../media/image76.png"/><Relationship Id="rId4" Type="http://schemas.openxmlformats.org/officeDocument/2006/relationships/image" Target="../media/image75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0.png"/><Relationship Id="rId2" Type="http://schemas.openxmlformats.org/officeDocument/2006/relationships/image" Target="../media/image79.png"/><Relationship Id="rId1" Type="http://schemas.openxmlformats.org/officeDocument/2006/relationships/image" Target="../media/image78.png"/><Relationship Id="rId4" Type="http://schemas.openxmlformats.org/officeDocument/2006/relationships/image" Target="../media/image8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35</xdr:row>
      <xdr:rowOff>9525</xdr:rowOff>
    </xdr:from>
    <xdr:to>
      <xdr:col>3</xdr:col>
      <xdr:colOff>2638425</xdr:colOff>
      <xdr:row>45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7800" y="6677025"/>
          <a:ext cx="3019425" cy="1905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247650</xdr:colOff>
      <xdr:row>12</xdr:row>
      <xdr:rowOff>142875</xdr:rowOff>
    </xdr:from>
    <xdr:to>
      <xdr:col>3</xdr:col>
      <xdr:colOff>3562350</xdr:colOff>
      <xdr:row>34</xdr:row>
      <xdr:rowOff>57150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0" y="2428875"/>
          <a:ext cx="4533900" cy="41052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285750</xdr:colOff>
      <xdr:row>14</xdr:row>
      <xdr:rowOff>152400</xdr:rowOff>
    </xdr:from>
    <xdr:to>
      <xdr:col>10</xdr:col>
      <xdr:colOff>333375</xdr:colOff>
      <xdr:row>17</xdr:row>
      <xdr:rowOff>28575</xdr:rowOff>
    </xdr:to>
    <xdr:cxnSp macro="">
      <xdr:nvCxnSpPr>
        <xdr:cNvPr id="6" name="Straight Arrow Connector 5"/>
        <xdr:cNvCxnSpPr/>
      </xdr:nvCxnSpPr>
      <xdr:spPr>
        <a:xfrm flipV="1">
          <a:off x="10353675" y="2819400"/>
          <a:ext cx="4762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14</xdr:row>
      <xdr:rowOff>85725</xdr:rowOff>
    </xdr:from>
    <xdr:to>
      <xdr:col>11</xdr:col>
      <xdr:colOff>676275</xdr:colOff>
      <xdr:row>17</xdr:row>
      <xdr:rowOff>19050</xdr:rowOff>
    </xdr:to>
    <xdr:cxnSp macro="">
      <xdr:nvCxnSpPr>
        <xdr:cNvPr id="8" name="Straight Arrow Connector 7"/>
        <xdr:cNvCxnSpPr/>
      </xdr:nvCxnSpPr>
      <xdr:spPr>
        <a:xfrm flipH="1" flipV="1">
          <a:off x="11153775" y="2752725"/>
          <a:ext cx="200025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228600</xdr:colOff>
      <xdr:row>2</xdr:row>
      <xdr:rowOff>9525</xdr:rowOff>
    </xdr:from>
    <xdr:to>
      <xdr:col>3</xdr:col>
      <xdr:colOff>3533775</xdr:colOff>
      <xdr:row>11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" y="390525"/>
          <a:ext cx="4524375" cy="18764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247650</xdr:colOff>
      <xdr:row>6</xdr:row>
      <xdr:rowOff>47625</xdr:rowOff>
    </xdr:from>
    <xdr:to>
      <xdr:col>19</xdr:col>
      <xdr:colOff>142875</xdr:colOff>
      <xdr:row>23</xdr:row>
      <xdr:rowOff>95250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468475" y="5191125"/>
          <a:ext cx="4162425" cy="33147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219075</xdr:colOff>
      <xdr:row>5</xdr:row>
      <xdr:rowOff>47625</xdr:rowOff>
    </xdr:from>
    <xdr:to>
      <xdr:col>32</xdr:col>
      <xdr:colOff>114300</xdr:colOff>
      <xdr:row>22</xdr:row>
      <xdr:rowOff>57150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44275" y="809625"/>
          <a:ext cx="4162425" cy="3276600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276225</xdr:colOff>
      <xdr:row>22</xdr:row>
      <xdr:rowOff>38100</xdr:rowOff>
    </xdr:from>
    <xdr:to>
      <xdr:col>37</xdr:col>
      <xdr:colOff>523875</xdr:colOff>
      <xdr:row>42</xdr:row>
      <xdr:rowOff>85725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68350" y="4257675"/>
          <a:ext cx="10287000" cy="3857625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257175</xdr:colOff>
      <xdr:row>43</xdr:row>
      <xdr:rowOff>28575</xdr:rowOff>
    </xdr:from>
    <xdr:to>
      <xdr:col>38</xdr:col>
      <xdr:colOff>276225</xdr:colOff>
      <xdr:row>58</xdr:row>
      <xdr:rowOff>114300</xdr:rowOff>
    </xdr:to>
    <xdr:pic>
      <xdr:nvPicPr>
        <xdr:cNvPr id="307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449300" y="8248650"/>
          <a:ext cx="10668000" cy="29432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57150</xdr:colOff>
      <xdr:row>2</xdr:row>
      <xdr:rowOff>0</xdr:rowOff>
    </xdr:from>
    <xdr:to>
      <xdr:col>28</xdr:col>
      <xdr:colOff>542925</xdr:colOff>
      <xdr:row>19</xdr:row>
      <xdr:rowOff>28575</xdr:rowOff>
    </xdr:to>
    <xdr:pic>
      <xdr:nvPicPr>
        <xdr:cNvPr id="40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10750" y="381000"/>
          <a:ext cx="4143375" cy="3295650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38100</xdr:colOff>
      <xdr:row>20</xdr:row>
      <xdr:rowOff>66675</xdr:rowOff>
    </xdr:from>
    <xdr:to>
      <xdr:col>28</xdr:col>
      <xdr:colOff>504825</xdr:colOff>
      <xdr:row>37</xdr:row>
      <xdr:rowOff>0</xdr:rowOff>
    </xdr:to>
    <xdr:pic>
      <xdr:nvPicPr>
        <xdr:cNvPr id="41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91700" y="3905250"/>
          <a:ext cx="4124325" cy="3200400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38100</xdr:colOff>
      <xdr:row>38</xdr:row>
      <xdr:rowOff>38100</xdr:rowOff>
    </xdr:from>
    <xdr:to>
      <xdr:col>28</xdr:col>
      <xdr:colOff>476250</xdr:colOff>
      <xdr:row>54</xdr:row>
      <xdr:rowOff>171450</xdr:rowOff>
    </xdr:to>
    <xdr:pic>
      <xdr:nvPicPr>
        <xdr:cNvPr id="410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230100" y="7334250"/>
          <a:ext cx="4095750" cy="3209925"/>
        </a:xfrm>
        <a:prstGeom prst="rect">
          <a:avLst/>
        </a:prstGeom>
        <a:noFill/>
      </xdr:spPr>
    </xdr:pic>
    <xdr:clientData/>
  </xdr:twoCellAnchor>
  <xdr:twoCellAnchor editAs="oneCell">
    <xdr:from>
      <xdr:col>22</xdr:col>
      <xdr:colOff>57150</xdr:colOff>
      <xdr:row>55</xdr:row>
      <xdr:rowOff>180975</xdr:rowOff>
    </xdr:from>
    <xdr:to>
      <xdr:col>28</xdr:col>
      <xdr:colOff>552450</xdr:colOff>
      <xdr:row>73</xdr:row>
      <xdr:rowOff>0</xdr:rowOff>
    </xdr:to>
    <xdr:pic>
      <xdr:nvPicPr>
        <xdr:cNvPr id="410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077950" y="10744200"/>
          <a:ext cx="4152900" cy="32766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323850</xdr:colOff>
      <xdr:row>3</xdr:row>
      <xdr:rowOff>152400</xdr:rowOff>
    </xdr:from>
    <xdr:to>
      <xdr:col>21</xdr:col>
      <xdr:colOff>180975</xdr:colOff>
      <xdr:row>20</xdr:row>
      <xdr:rowOff>114300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48650" y="723900"/>
          <a:ext cx="4124325" cy="325755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333375</xdr:colOff>
      <xdr:row>21</xdr:row>
      <xdr:rowOff>47625</xdr:rowOff>
    </xdr:from>
    <xdr:to>
      <xdr:col>21</xdr:col>
      <xdr:colOff>161925</xdr:colOff>
      <xdr:row>39</xdr:row>
      <xdr:rowOff>19050</xdr:rowOff>
    </xdr:to>
    <xdr:pic>
      <xdr:nvPicPr>
        <xdr:cNvPr id="5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58175" y="4076700"/>
          <a:ext cx="4095750" cy="34004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504825</xdr:colOff>
      <xdr:row>26</xdr:row>
      <xdr:rowOff>9525</xdr:rowOff>
    </xdr:from>
    <xdr:to>
      <xdr:col>14</xdr:col>
      <xdr:colOff>0</xdr:colOff>
      <xdr:row>44</xdr:row>
      <xdr:rowOff>114300</xdr:rowOff>
    </xdr:to>
    <xdr:pic>
      <xdr:nvPicPr>
        <xdr:cNvPr id="512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72025" y="5019675"/>
          <a:ext cx="4076700" cy="353377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409575</xdr:colOff>
      <xdr:row>40</xdr:row>
      <xdr:rowOff>0</xdr:rowOff>
    </xdr:from>
    <xdr:to>
      <xdr:col>20</xdr:col>
      <xdr:colOff>38100</xdr:colOff>
      <xdr:row>56</xdr:row>
      <xdr:rowOff>114300</xdr:rowOff>
    </xdr:to>
    <xdr:pic>
      <xdr:nvPicPr>
        <xdr:cNvPr id="512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34375" y="7648575"/>
          <a:ext cx="3286125" cy="3162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552450</xdr:colOff>
      <xdr:row>45</xdr:row>
      <xdr:rowOff>28575</xdr:rowOff>
    </xdr:from>
    <xdr:to>
      <xdr:col>13</xdr:col>
      <xdr:colOff>571500</xdr:colOff>
      <xdr:row>53</xdr:row>
      <xdr:rowOff>0</xdr:rowOff>
    </xdr:to>
    <xdr:pic>
      <xdr:nvPicPr>
        <xdr:cNvPr id="513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819650" y="8658225"/>
          <a:ext cx="3990975" cy="14954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295275</xdr:colOff>
      <xdr:row>67</xdr:row>
      <xdr:rowOff>95250</xdr:rowOff>
    </xdr:from>
    <xdr:to>
      <xdr:col>19</xdr:col>
      <xdr:colOff>571500</xdr:colOff>
      <xdr:row>84</xdr:row>
      <xdr:rowOff>95250</xdr:rowOff>
    </xdr:to>
    <xdr:pic>
      <xdr:nvPicPr>
        <xdr:cNvPr id="513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829675" y="12944475"/>
          <a:ext cx="3324225" cy="326707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28575</xdr:colOff>
      <xdr:row>1</xdr:row>
      <xdr:rowOff>85725</xdr:rowOff>
    </xdr:from>
    <xdr:to>
      <xdr:col>23</xdr:col>
      <xdr:colOff>476250</xdr:colOff>
      <xdr:row>18</xdr:row>
      <xdr:rowOff>123825</xdr:rowOff>
    </xdr:to>
    <xdr:pic>
      <xdr:nvPicPr>
        <xdr:cNvPr id="61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91775" y="276225"/>
          <a:ext cx="4105275" cy="32766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</xdr:row>
      <xdr:rowOff>85725</xdr:rowOff>
    </xdr:from>
    <xdr:to>
      <xdr:col>10</xdr:col>
      <xdr:colOff>114300</xdr:colOff>
      <xdr:row>15</xdr:row>
      <xdr:rowOff>9525</xdr:rowOff>
    </xdr:to>
    <xdr:pic>
      <xdr:nvPicPr>
        <xdr:cNvPr id="61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00400" y="276225"/>
          <a:ext cx="3009900" cy="25908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561975</xdr:colOff>
      <xdr:row>1</xdr:row>
      <xdr:rowOff>104775</xdr:rowOff>
    </xdr:from>
    <xdr:to>
      <xdr:col>15</xdr:col>
      <xdr:colOff>495300</xdr:colOff>
      <xdr:row>15</xdr:row>
      <xdr:rowOff>9525</xdr:rowOff>
    </xdr:to>
    <xdr:pic>
      <xdr:nvPicPr>
        <xdr:cNvPr id="615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7975" y="295275"/>
          <a:ext cx="2981325" cy="25717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16</xdr:row>
      <xdr:rowOff>114300</xdr:rowOff>
    </xdr:from>
    <xdr:to>
      <xdr:col>9</xdr:col>
      <xdr:colOff>523875</xdr:colOff>
      <xdr:row>46</xdr:row>
      <xdr:rowOff>19050</xdr:rowOff>
    </xdr:to>
    <xdr:pic>
      <xdr:nvPicPr>
        <xdr:cNvPr id="615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14700" y="3162300"/>
          <a:ext cx="2695575" cy="561975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371475</xdr:colOff>
      <xdr:row>16</xdr:row>
      <xdr:rowOff>161925</xdr:rowOff>
    </xdr:from>
    <xdr:to>
      <xdr:col>16</xdr:col>
      <xdr:colOff>314325</xdr:colOff>
      <xdr:row>33</xdr:row>
      <xdr:rowOff>133350</xdr:rowOff>
    </xdr:to>
    <xdr:pic>
      <xdr:nvPicPr>
        <xdr:cNvPr id="615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467475" y="3209925"/>
          <a:ext cx="3600450" cy="32099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323850</xdr:colOff>
      <xdr:row>2</xdr:row>
      <xdr:rowOff>28575</xdr:rowOff>
    </xdr:from>
    <xdr:to>
      <xdr:col>17</xdr:col>
      <xdr:colOff>257175</xdr:colOff>
      <xdr:row>19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0250" y="409575"/>
          <a:ext cx="4200525" cy="3381375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38100</xdr:colOff>
      <xdr:row>2</xdr:row>
      <xdr:rowOff>28575</xdr:rowOff>
    </xdr:from>
    <xdr:to>
      <xdr:col>29</xdr:col>
      <xdr:colOff>542925</xdr:colOff>
      <xdr:row>18</xdr:row>
      <xdr:rowOff>85725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9700" y="409575"/>
          <a:ext cx="4162425" cy="31337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600075</xdr:colOff>
      <xdr:row>20</xdr:row>
      <xdr:rowOff>57150</xdr:rowOff>
    </xdr:from>
    <xdr:to>
      <xdr:col>16</xdr:col>
      <xdr:colOff>390525</xdr:colOff>
      <xdr:row>37</xdr:row>
      <xdr:rowOff>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6475" y="3867150"/>
          <a:ext cx="3448050" cy="3181350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76200</xdr:colOff>
      <xdr:row>19</xdr:row>
      <xdr:rowOff>19050</xdr:rowOff>
    </xdr:from>
    <xdr:to>
      <xdr:col>28</xdr:col>
      <xdr:colOff>457200</xdr:colOff>
      <xdr:row>36</xdr:row>
      <xdr:rowOff>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877800" y="3638550"/>
          <a:ext cx="3429000" cy="32194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38100</xdr:colOff>
      <xdr:row>38</xdr:row>
      <xdr:rowOff>19050</xdr:rowOff>
    </xdr:from>
    <xdr:to>
      <xdr:col>16</xdr:col>
      <xdr:colOff>76200</xdr:colOff>
      <xdr:row>44</xdr:row>
      <xdr:rowOff>66675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743700" y="7286625"/>
          <a:ext cx="3086100" cy="1190625"/>
        </a:xfrm>
        <a:prstGeom prst="rect">
          <a:avLst/>
        </a:prstGeom>
        <a:noFill/>
      </xdr:spPr>
    </xdr:pic>
    <xdr:clientData/>
  </xdr:twoCellAnchor>
  <xdr:twoCellAnchor editAs="oneCell">
    <xdr:from>
      <xdr:col>23</xdr:col>
      <xdr:colOff>85725</xdr:colOff>
      <xdr:row>37</xdr:row>
      <xdr:rowOff>57150</xdr:rowOff>
    </xdr:from>
    <xdr:to>
      <xdr:col>28</xdr:col>
      <xdr:colOff>209550</xdr:colOff>
      <xdr:row>43</xdr:row>
      <xdr:rowOff>161925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06525" y="7134225"/>
          <a:ext cx="3171825" cy="124777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2</xdr:row>
      <xdr:rowOff>161925</xdr:rowOff>
    </xdr:from>
    <xdr:to>
      <xdr:col>10</xdr:col>
      <xdr:colOff>200025</xdr:colOff>
      <xdr:row>14</xdr:row>
      <xdr:rowOff>66675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67050" y="542925"/>
          <a:ext cx="3228975" cy="21907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257175</xdr:colOff>
      <xdr:row>15</xdr:row>
      <xdr:rowOff>133350</xdr:rowOff>
    </xdr:from>
    <xdr:to>
      <xdr:col>11</xdr:col>
      <xdr:colOff>400050</xdr:colOff>
      <xdr:row>35</xdr:row>
      <xdr:rowOff>133350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95575" y="2990850"/>
          <a:ext cx="4410075" cy="3810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285750</xdr:colOff>
      <xdr:row>36</xdr:row>
      <xdr:rowOff>114300</xdr:rowOff>
    </xdr:from>
    <xdr:to>
      <xdr:col>11</xdr:col>
      <xdr:colOff>152400</xdr:colOff>
      <xdr:row>53</xdr:row>
      <xdr:rowOff>133350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724150" y="6972300"/>
          <a:ext cx="4133850" cy="32575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600075</xdr:colOff>
      <xdr:row>2</xdr:row>
      <xdr:rowOff>114300</xdr:rowOff>
    </xdr:from>
    <xdr:to>
      <xdr:col>18</xdr:col>
      <xdr:colOff>114300</xdr:colOff>
      <xdr:row>13</xdr:row>
      <xdr:rowOff>171450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915275" y="495300"/>
          <a:ext cx="3171825" cy="21526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228600</xdr:colOff>
      <xdr:row>15</xdr:row>
      <xdr:rowOff>133350</xdr:rowOff>
    </xdr:from>
    <xdr:to>
      <xdr:col>19</xdr:col>
      <xdr:colOff>390525</xdr:colOff>
      <xdr:row>36</xdr:row>
      <xdr:rowOff>9525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543800" y="2990850"/>
          <a:ext cx="4429125" cy="387667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295275</xdr:colOff>
      <xdr:row>36</xdr:row>
      <xdr:rowOff>180975</xdr:rowOff>
    </xdr:from>
    <xdr:to>
      <xdr:col>19</xdr:col>
      <xdr:colOff>133350</xdr:colOff>
      <xdr:row>54</xdr:row>
      <xdr:rowOff>9525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610475" y="7038975"/>
          <a:ext cx="4105275" cy="3257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342900</xdr:colOff>
      <xdr:row>1</xdr:row>
      <xdr:rowOff>114300</xdr:rowOff>
    </xdr:from>
    <xdr:to>
      <xdr:col>16</xdr:col>
      <xdr:colOff>219075</xdr:colOff>
      <xdr:row>19</xdr:row>
      <xdr:rowOff>95250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0900" y="304800"/>
          <a:ext cx="4143375" cy="3438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276225</xdr:colOff>
      <xdr:row>20</xdr:row>
      <xdr:rowOff>171450</xdr:rowOff>
    </xdr:from>
    <xdr:to>
      <xdr:col>15</xdr:col>
      <xdr:colOff>38100</xdr:colOff>
      <xdr:row>37</xdr:row>
      <xdr:rowOff>133350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24225" y="3981450"/>
          <a:ext cx="3419475" cy="3200400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38100</xdr:colOff>
      <xdr:row>4</xdr:row>
      <xdr:rowOff>28575</xdr:rowOff>
    </xdr:from>
    <xdr:to>
      <xdr:col>31</xdr:col>
      <xdr:colOff>600075</xdr:colOff>
      <xdr:row>22</xdr:row>
      <xdr:rowOff>19050</xdr:rowOff>
    </xdr:to>
    <xdr:pic>
      <xdr:nvPicPr>
        <xdr:cNvPr id="307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487650" y="819150"/>
          <a:ext cx="4219575" cy="3419475"/>
        </a:xfrm>
        <a:prstGeom prst="rect">
          <a:avLst/>
        </a:prstGeom>
        <a:noFill/>
      </xdr:spPr>
    </xdr:pic>
    <xdr:clientData/>
  </xdr:twoCellAnchor>
  <xdr:twoCellAnchor editAs="oneCell">
    <xdr:from>
      <xdr:col>25</xdr:col>
      <xdr:colOff>342900</xdr:colOff>
      <xdr:row>21</xdr:row>
      <xdr:rowOff>161925</xdr:rowOff>
    </xdr:from>
    <xdr:to>
      <xdr:col>31</xdr:col>
      <xdr:colOff>104775</xdr:colOff>
      <xdr:row>38</xdr:row>
      <xdr:rowOff>66675</xdr:rowOff>
    </xdr:to>
    <xdr:pic>
      <xdr:nvPicPr>
        <xdr:cNvPr id="308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792450" y="4191000"/>
          <a:ext cx="3419475" cy="3143250"/>
        </a:xfrm>
        <a:prstGeom prst="rect">
          <a:avLst/>
        </a:prstGeom>
        <a:noFill/>
      </xdr:spPr>
    </xdr:pic>
    <xdr:clientData/>
  </xdr:twoCellAnchor>
  <xdr:twoCellAnchor editAs="oneCell">
    <xdr:from>
      <xdr:col>41</xdr:col>
      <xdr:colOff>0</xdr:colOff>
      <xdr:row>3</xdr:row>
      <xdr:rowOff>85725</xdr:rowOff>
    </xdr:from>
    <xdr:to>
      <xdr:col>47</xdr:col>
      <xdr:colOff>514350</xdr:colOff>
      <xdr:row>22</xdr:row>
      <xdr:rowOff>0</xdr:rowOff>
    </xdr:to>
    <xdr:pic>
      <xdr:nvPicPr>
        <xdr:cNvPr id="308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5469850" y="657225"/>
          <a:ext cx="4171950" cy="3562350"/>
        </a:xfrm>
        <a:prstGeom prst="rect">
          <a:avLst/>
        </a:prstGeom>
        <a:noFill/>
      </xdr:spPr>
    </xdr:pic>
    <xdr:clientData/>
  </xdr:twoCellAnchor>
  <xdr:twoCellAnchor editAs="oneCell">
    <xdr:from>
      <xdr:col>41</xdr:col>
      <xdr:colOff>409575</xdr:colOff>
      <xdr:row>21</xdr:row>
      <xdr:rowOff>123825</xdr:rowOff>
    </xdr:from>
    <xdr:to>
      <xdr:col>47</xdr:col>
      <xdr:colOff>66675</xdr:colOff>
      <xdr:row>38</xdr:row>
      <xdr:rowOff>38100</xdr:rowOff>
    </xdr:to>
    <xdr:pic>
      <xdr:nvPicPr>
        <xdr:cNvPr id="309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5879425" y="4152900"/>
          <a:ext cx="3314700" cy="3152775"/>
        </a:xfrm>
        <a:prstGeom prst="rect">
          <a:avLst/>
        </a:prstGeom>
        <a:noFill/>
      </xdr:spPr>
    </xdr:pic>
    <xdr:clientData/>
  </xdr:twoCellAnchor>
  <xdr:twoCellAnchor editAs="oneCell">
    <xdr:from>
      <xdr:col>49</xdr:col>
      <xdr:colOff>47625</xdr:colOff>
      <xdr:row>3</xdr:row>
      <xdr:rowOff>57150</xdr:rowOff>
    </xdr:from>
    <xdr:to>
      <xdr:col>56</xdr:col>
      <xdr:colOff>66675</xdr:colOff>
      <xdr:row>20</xdr:row>
      <xdr:rowOff>161925</xdr:rowOff>
    </xdr:to>
    <xdr:pic>
      <xdr:nvPicPr>
        <xdr:cNvPr id="309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0394275" y="628650"/>
          <a:ext cx="4286250" cy="33718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1</xdr:row>
      <xdr:rowOff>38100</xdr:rowOff>
    </xdr:from>
    <xdr:to>
      <xdr:col>14</xdr:col>
      <xdr:colOff>152400</xdr:colOff>
      <xdr:row>19</xdr:row>
      <xdr:rowOff>9525</xdr:rowOff>
    </xdr:to>
    <xdr:pic>
      <xdr:nvPicPr>
        <xdr:cNvPr id="409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19600" y="228600"/>
          <a:ext cx="4267200" cy="34290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371475</xdr:colOff>
      <xdr:row>19</xdr:row>
      <xdr:rowOff>123825</xdr:rowOff>
    </xdr:from>
    <xdr:to>
      <xdr:col>14</xdr:col>
      <xdr:colOff>200025</xdr:colOff>
      <xdr:row>39</xdr:row>
      <xdr:rowOff>0</xdr:rowOff>
    </xdr:to>
    <xdr:pic>
      <xdr:nvPicPr>
        <xdr:cNvPr id="410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29075" y="3743325"/>
          <a:ext cx="4705350" cy="37147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361950</xdr:colOff>
      <xdr:row>39</xdr:row>
      <xdr:rowOff>142875</xdr:rowOff>
    </xdr:from>
    <xdr:to>
      <xdr:col>10</xdr:col>
      <xdr:colOff>352425</xdr:colOff>
      <xdr:row>51</xdr:row>
      <xdr:rowOff>171450</xdr:rowOff>
    </xdr:to>
    <xdr:pic>
      <xdr:nvPicPr>
        <xdr:cNvPr id="410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19550" y="7572375"/>
          <a:ext cx="2428875" cy="231457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19050</xdr:colOff>
      <xdr:row>39</xdr:row>
      <xdr:rowOff>123825</xdr:rowOff>
    </xdr:from>
    <xdr:to>
      <xdr:col>15</xdr:col>
      <xdr:colOff>95250</xdr:colOff>
      <xdr:row>61</xdr:row>
      <xdr:rowOff>0</xdr:rowOff>
    </xdr:to>
    <xdr:pic>
      <xdr:nvPicPr>
        <xdr:cNvPr id="4110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724650" y="7553325"/>
          <a:ext cx="2514600" cy="40671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428625</xdr:colOff>
      <xdr:row>61</xdr:row>
      <xdr:rowOff>76200</xdr:rowOff>
    </xdr:from>
    <xdr:to>
      <xdr:col>14</xdr:col>
      <xdr:colOff>209550</xdr:colOff>
      <xdr:row>79</xdr:row>
      <xdr:rowOff>123825</xdr:rowOff>
    </xdr:to>
    <xdr:pic>
      <xdr:nvPicPr>
        <xdr:cNvPr id="4112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086225" y="11696700"/>
          <a:ext cx="4657725" cy="34766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466725</xdr:colOff>
      <xdr:row>80</xdr:row>
      <xdr:rowOff>38100</xdr:rowOff>
    </xdr:from>
    <xdr:to>
      <xdr:col>11</xdr:col>
      <xdr:colOff>28575</xdr:colOff>
      <xdr:row>86</xdr:row>
      <xdr:rowOff>0</xdr:rowOff>
    </xdr:to>
    <xdr:pic>
      <xdr:nvPicPr>
        <xdr:cNvPr id="411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124325" y="15278100"/>
          <a:ext cx="2609850" cy="11049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39</xdr:row>
      <xdr:rowOff>66675</xdr:rowOff>
    </xdr:from>
    <xdr:to>
      <xdr:col>6</xdr:col>
      <xdr:colOff>104775</xdr:colOff>
      <xdr:row>46</xdr:row>
      <xdr:rowOff>76200</xdr:rowOff>
    </xdr:to>
    <xdr:pic>
      <xdr:nvPicPr>
        <xdr:cNvPr id="411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8650" y="7553325"/>
          <a:ext cx="3143250" cy="1343025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123825</xdr:colOff>
      <xdr:row>3</xdr:row>
      <xdr:rowOff>66675</xdr:rowOff>
    </xdr:from>
    <xdr:to>
      <xdr:col>22</xdr:col>
      <xdr:colOff>561975</xdr:colOff>
      <xdr:row>22</xdr:row>
      <xdr:rowOff>57150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68050" y="666750"/>
          <a:ext cx="4095750" cy="363855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209550</xdr:colOff>
      <xdr:row>24</xdr:row>
      <xdr:rowOff>57150</xdr:rowOff>
    </xdr:from>
    <xdr:to>
      <xdr:col>22</xdr:col>
      <xdr:colOff>552450</xdr:colOff>
      <xdr:row>30</xdr:row>
      <xdr:rowOff>114300</xdr:rowOff>
    </xdr:to>
    <xdr:pic>
      <xdr:nvPicPr>
        <xdr:cNvPr id="512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44175" y="4686300"/>
          <a:ext cx="40005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50</xdr:col>
      <xdr:colOff>495300</xdr:colOff>
      <xdr:row>38</xdr:row>
      <xdr:rowOff>76200</xdr:rowOff>
    </xdr:from>
    <xdr:to>
      <xdr:col>55</xdr:col>
      <xdr:colOff>523875</xdr:colOff>
      <xdr:row>67</xdr:row>
      <xdr:rowOff>133350</xdr:rowOff>
    </xdr:to>
    <xdr:pic>
      <xdr:nvPicPr>
        <xdr:cNvPr id="512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603950" y="7400925"/>
          <a:ext cx="4191000" cy="5667375"/>
        </a:xfrm>
        <a:prstGeom prst="rect">
          <a:avLst/>
        </a:prstGeom>
        <a:noFill/>
      </xdr:spPr>
    </xdr:pic>
    <xdr:clientData/>
  </xdr:twoCellAnchor>
  <xdr:twoCellAnchor>
    <xdr:from>
      <xdr:col>48</xdr:col>
      <xdr:colOff>990600</xdr:colOff>
      <xdr:row>39</xdr:row>
      <xdr:rowOff>209550</xdr:rowOff>
    </xdr:from>
    <xdr:to>
      <xdr:col>52</xdr:col>
      <xdr:colOff>285750</xdr:colOff>
      <xdr:row>41</xdr:row>
      <xdr:rowOff>123825</xdr:rowOff>
    </xdr:to>
    <xdr:cxnSp macro="">
      <xdr:nvCxnSpPr>
        <xdr:cNvPr id="6" name="Straight Arrow Connector 5"/>
        <xdr:cNvCxnSpPr/>
      </xdr:nvCxnSpPr>
      <xdr:spPr>
        <a:xfrm flipV="1">
          <a:off x="31899225" y="7724775"/>
          <a:ext cx="2828925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923925</xdr:colOff>
      <xdr:row>40</xdr:row>
      <xdr:rowOff>114300</xdr:rowOff>
    </xdr:from>
    <xdr:to>
      <xdr:col>52</xdr:col>
      <xdr:colOff>257175</xdr:colOff>
      <xdr:row>42</xdr:row>
      <xdr:rowOff>123825</xdr:rowOff>
    </xdr:to>
    <xdr:cxnSp macro="">
      <xdr:nvCxnSpPr>
        <xdr:cNvPr id="8" name="Straight Arrow Connector 7"/>
        <xdr:cNvCxnSpPr/>
      </xdr:nvCxnSpPr>
      <xdr:spPr>
        <a:xfrm flipV="1">
          <a:off x="31832550" y="7848600"/>
          <a:ext cx="28670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48</xdr:col>
      <xdr:colOff>923925</xdr:colOff>
      <xdr:row>41</xdr:row>
      <xdr:rowOff>85725</xdr:rowOff>
    </xdr:from>
    <xdr:to>
      <xdr:col>52</xdr:col>
      <xdr:colOff>266700</xdr:colOff>
      <xdr:row>45</xdr:row>
      <xdr:rowOff>95250</xdr:rowOff>
    </xdr:to>
    <xdr:cxnSp macro="">
      <xdr:nvCxnSpPr>
        <xdr:cNvPr id="10" name="Straight Arrow Connector 9"/>
        <xdr:cNvCxnSpPr/>
      </xdr:nvCxnSpPr>
      <xdr:spPr>
        <a:xfrm flipV="1">
          <a:off x="31832550" y="8010525"/>
          <a:ext cx="2876550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247650</xdr:colOff>
      <xdr:row>38</xdr:row>
      <xdr:rowOff>76200</xdr:rowOff>
    </xdr:from>
    <xdr:to>
      <xdr:col>19</xdr:col>
      <xdr:colOff>228600</xdr:colOff>
      <xdr:row>58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6350" y="7877175"/>
          <a:ext cx="4133850" cy="37814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161925</xdr:colOff>
      <xdr:row>3</xdr:row>
      <xdr:rowOff>76200</xdr:rowOff>
    </xdr:from>
    <xdr:to>
      <xdr:col>25</xdr:col>
      <xdr:colOff>447675</xdr:colOff>
      <xdr:row>22</xdr:row>
      <xdr:rowOff>180975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67525" y="266700"/>
          <a:ext cx="4133850" cy="3781425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95250</xdr:colOff>
      <xdr:row>24</xdr:row>
      <xdr:rowOff>66675</xdr:rowOff>
    </xdr:from>
    <xdr:to>
      <xdr:col>25</xdr:col>
      <xdr:colOff>466725</xdr:colOff>
      <xdr:row>34</xdr:row>
      <xdr:rowOff>19050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00850" y="4257675"/>
          <a:ext cx="4219575" cy="1857375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123825</xdr:colOff>
      <xdr:row>3</xdr:row>
      <xdr:rowOff>95250</xdr:rowOff>
    </xdr:from>
    <xdr:to>
      <xdr:col>33</xdr:col>
      <xdr:colOff>333375</xdr:colOff>
      <xdr:row>23</xdr:row>
      <xdr:rowOff>95250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278350" y="285750"/>
          <a:ext cx="4476750" cy="3867150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38100</xdr:colOff>
      <xdr:row>3</xdr:row>
      <xdr:rowOff>123825</xdr:rowOff>
    </xdr:from>
    <xdr:to>
      <xdr:col>40</xdr:col>
      <xdr:colOff>504825</xdr:colOff>
      <xdr:row>22</xdr:row>
      <xdr:rowOff>152400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2069425" y="314325"/>
          <a:ext cx="4124325" cy="3705225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133350</xdr:colOff>
      <xdr:row>25</xdr:row>
      <xdr:rowOff>47625</xdr:rowOff>
    </xdr:from>
    <xdr:to>
      <xdr:col>33</xdr:col>
      <xdr:colOff>285750</xdr:colOff>
      <xdr:row>44</xdr:row>
      <xdr:rowOff>133350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7287875" y="4486275"/>
          <a:ext cx="4419600" cy="3848100"/>
        </a:xfrm>
        <a:prstGeom prst="rect">
          <a:avLst/>
        </a:prstGeom>
        <a:noFill/>
      </xdr:spPr>
    </xdr:pic>
    <xdr:clientData/>
  </xdr:twoCellAnchor>
  <xdr:twoCellAnchor editAs="oneCell">
    <xdr:from>
      <xdr:col>34</xdr:col>
      <xdr:colOff>66675</xdr:colOff>
      <xdr:row>25</xdr:row>
      <xdr:rowOff>0</xdr:rowOff>
    </xdr:from>
    <xdr:to>
      <xdr:col>40</xdr:col>
      <xdr:colOff>485775</xdr:colOff>
      <xdr:row>43</xdr:row>
      <xdr:rowOff>114300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098000" y="4438650"/>
          <a:ext cx="4076700" cy="365760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85725</xdr:colOff>
      <xdr:row>40</xdr:row>
      <xdr:rowOff>28575</xdr:rowOff>
    </xdr:from>
    <xdr:to>
      <xdr:col>21</xdr:col>
      <xdr:colOff>0</xdr:colOff>
      <xdr:row>60</xdr:row>
      <xdr:rowOff>104775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86750" y="7705725"/>
          <a:ext cx="4438650" cy="3886200"/>
        </a:xfrm>
        <a:prstGeom prst="rect">
          <a:avLst/>
        </a:prstGeom>
        <a:noFill/>
      </xdr:spPr>
    </xdr:pic>
    <xdr:clientData/>
  </xdr:twoCellAnchor>
  <xdr:twoCellAnchor editAs="oneCell">
    <xdr:from>
      <xdr:col>21</xdr:col>
      <xdr:colOff>114300</xdr:colOff>
      <xdr:row>40</xdr:row>
      <xdr:rowOff>57150</xdr:rowOff>
    </xdr:from>
    <xdr:to>
      <xdr:col>26</xdr:col>
      <xdr:colOff>285750</xdr:colOff>
      <xdr:row>63</xdr:row>
      <xdr:rowOff>28575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39700" y="7734300"/>
          <a:ext cx="4095750" cy="4352925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133350</xdr:colOff>
      <xdr:row>5</xdr:row>
      <xdr:rowOff>57150</xdr:rowOff>
    </xdr:from>
    <xdr:to>
      <xdr:col>31</xdr:col>
      <xdr:colOff>571500</xdr:colOff>
      <xdr:row>15</xdr:row>
      <xdr:rowOff>38100</xdr:rowOff>
    </xdr:to>
    <xdr:pic>
      <xdr:nvPicPr>
        <xdr:cNvPr id="307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392650" y="1009650"/>
          <a:ext cx="2876550" cy="1885950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66675</xdr:colOff>
      <xdr:row>16</xdr:row>
      <xdr:rowOff>104775</xdr:rowOff>
    </xdr:from>
    <xdr:to>
      <xdr:col>32</xdr:col>
      <xdr:colOff>381000</xdr:colOff>
      <xdr:row>34</xdr:row>
      <xdr:rowOff>95250</xdr:rowOff>
    </xdr:to>
    <xdr:pic>
      <xdr:nvPicPr>
        <xdr:cNvPr id="308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7325975" y="3152775"/>
          <a:ext cx="3362325" cy="3543300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476250</xdr:colOff>
      <xdr:row>4</xdr:row>
      <xdr:rowOff>152399</xdr:rowOff>
    </xdr:from>
    <xdr:to>
      <xdr:col>31</xdr:col>
      <xdr:colOff>0</xdr:colOff>
      <xdr:row>24</xdr:row>
      <xdr:rowOff>133349</xdr:rowOff>
    </xdr:to>
    <xdr:pic>
      <xdr:nvPicPr>
        <xdr:cNvPr id="512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392525" y="914399"/>
          <a:ext cx="4400550" cy="3895725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171450</xdr:colOff>
      <xdr:row>26</xdr:row>
      <xdr:rowOff>200025</xdr:rowOff>
    </xdr:from>
    <xdr:to>
      <xdr:col>31</xdr:col>
      <xdr:colOff>28575</xdr:colOff>
      <xdr:row>44</xdr:row>
      <xdr:rowOff>28575</xdr:rowOff>
    </xdr:to>
    <xdr:pic>
      <xdr:nvPicPr>
        <xdr:cNvPr id="5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468725" y="5257800"/>
          <a:ext cx="4124325" cy="340995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323850</xdr:colOff>
      <xdr:row>28</xdr:row>
      <xdr:rowOff>0</xdr:rowOff>
    </xdr:from>
    <xdr:to>
      <xdr:col>16</xdr:col>
      <xdr:colOff>323850</xdr:colOff>
      <xdr:row>45</xdr:row>
      <xdr:rowOff>47627</xdr:rowOff>
    </xdr:to>
    <xdr:cxnSp macro="">
      <xdr:nvCxnSpPr>
        <xdr:cNvPr id="6" name="Straight Arrow Connector 5"/>
        <xdr:cNvCxnSpPr/>
      </xdr:nvCxnSpPr>
      <xdr:spPr>
        <a:xfrm flipV="1">
          <a:off x="7781925" y="5591175"/>
          <a:ext cx="3962400" cy="32861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123825</xdr:colOff>
      <xdr:row>26</xdr:row>
      <xdr:rowOff>104775</xdr:rowOff>
    </xdr:from>
    <xdr:to>
      <xdr:col>16</xdr:col>
      <xdr:colOff>19050</xdr:colOff>
      <xdr:row>45</xdr:row>
      <xdr:rowOff>104776</xdr:rowOff>
    </xdr:to>
    <xdr:cxnSp macro="">
      <xdr:nvCxnSpPr>
        <xdr:cNvPr id="8" name="Straight Arrow Connector 7"/>
        <xdr:cNvCxnSpPr/>
      </xdr:nvCxnSpPr>
      <xdr:spPr>
        <a:xfrm flipV="1">
          <a:off x="10248900" y="5162550"/>
          <a:ext cx="1190625" cy="36195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31</xdr:col>
      <xdr:colOff>238125</xdr:colOff>
      <xdr:row>4</xdr:row>
      <xdr:rowOff>95250</xdr:rowOff>
    </xdr:from>
    <xdr:to>
      <xdr:col>36</xdr:col>
      <xdr:colOff>247650</xdr:colOff>
      <xdr:row>24</xdr:row>
      <xdr:rowOff>38100</xdr:rowOff>
    </xdr:to>
    <xdr:pic>
      <xdr:nvPicPr>
        <xdr:cNvPr id="512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802600" y="857250"/>
          <a:ext cx="3057525" cy="3857625"/>
        </a:xfrm>
        <a:prstGeom prst="rect">
          <a:avLst/>
        </a:prstGeom>
        <a:noFill/>
      </xdr:spPr>
    </xdr:pic>
    <xdr:clientData/>
  </xdr:twoCellAnchor>
  <xdr:twoCellAnchor editAs="oneCell">
    <xdr:from>
      <xdr:col>31</xdr:col>
      <xdr:colOff>381000</xdr:colOff>
      <xdr:row>25</xdr:row>
      <xdr:rowOff>123825</xdr:rowOff>
    </xdr:from>
    <xdr:to>
      <xdr:col>38</xdr:col>
      <xdr:colOff>552450</xdr:colOff>
      <xdr:row>45</xdr:row>
      <xdr:rowOff>152400</xdr:rowOff>
    </xdr:to>
    <xdr:pic>
      <xdr:nvPicPr>
        <xdr:cNvPr id="5130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945475" y="4991100"/>
          <a:ext cx="4438650" cy="3990975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76200</xdr:colOff>
      <xdr:row>31</xdr:row>
      <xdr:rowOff>104775</xdr:rowOff>
    </xdr:from>
    <xdr:to>
      <xdr:col>34</xdr:col>
      <xdr:colOff>257175</xdr:colOff>
      <xdr:row>50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535900" y="6219825"/>
          <a:ext cx="4143375" cy="3657600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466725</xdr:colOff>
      <xdr:row>1</xdr:row>
      <xdr:rowOff>9525</xdr:rowOff>
    </xdr:from>
    <xdr:to>
      <xdr:col>12</xdr:col>
      <xdr:colOff>47625</xdr:colOff>
      <xdr:row>21</xdr:row>
      <xdr:rowOff>57150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05125" y="200025"/>
          <a:ext cx="4457700" cy="38576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171450</xdr:colOff>
      <xdr:row>1</xdr:row>
      <xdr:rowOff>76200</xdr:rowOff>
    </xdr:from>
    <xdr:to>
      <xdr:col>19</xdr:col>
      <xdr:colOff>723900</xdr:colOff>
      <xdr:row>19</xdr:row>
      <xdr:rowOff>66675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0" y="266700"/>
          <a:ext cx="4210050" cy="34194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476250</xdr:colOff>
      <xdr:row>22</xdr:row>
      <xdr:rowOff>76200</xdr:rowOff>
    </xdr:from>
    <xdr:to>
      <xdr:col>11</xdr:col>
      <xdr:colOff>495300</xdr:colOff>
      <xdr:row>40</xdr:row>
      <xdr:rowOff>85725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14650" y="4267200"/>
          <a:ext cx="4286250" cy="3438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114300</xdr:colOff>
      <xdr:row>20</xdr:row>
      <xdr:rowOff>47625</xdr:rowOff>
    </xdr:from>
    <xdr:to>
      <xdr:col>15</xdr:col>
      <xdr:colOff>561975</xdr:colOff>
      <xdr:row>27</xdr:row>
      <xdr:rowOff>104775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39100" y="3857625"/>
          <a:ext cx="1666875" cy="1390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76200</xdr:colOff>
      <xdr:row>28</xdr:row>
      <xdr:rowOff>9525</xdr:rowOff>
    </xdr:from>
    <xdr:to>
      <xdr:col>19</xdr:col>
      <xdr:colOff>523875</xdr:colOff>
      <xdr:row>53</xdr:row>
      <xdr:rowOff>76200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001000" y="5343525"/>
          <a:ext cx="4105275" cy="4829175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5</xdr:row>
      <xdr:rowOff>28575</xdr:rowOff>
    </xdr:from>
    <xdr:to>
      <xdr:col>12</xdr:col>
      <xdr:colOff>171450</xdr:colOff>
      <xdr:row>25</xdr:row>
      <xdr:rowOff>28575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00450" y="981075"/>
          <a:ext cx="4410075" cy="38100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25</xdr:row>
      <xdr:rowOff>95250</xdr:rowOff>
    </xdr:from>
    <xdr:to>
      <xdr:col>12</xdr:col>
      <xdr:colOff>133350</xdr:colOff>
      <xdr:row>45</xdr:row>
      <xdr:rowOff>76200</xdr:rowOff>
    </xdr:to>
    <xdr:pic>
      <xdr:nvPicPr>
        <xdr:cNvPr id="307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90925" y="4857750"/>
          <a:ext cx="4381500" cy="37909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476250</xdr:colOff>
      <xdr:row>27</xdr:row>
      <xdr:rowOff>47625</xdr:rowOff>
    </xdr:from>
    <xdr:to>
      <xdr:col>19</xdr:col>
      <xdr:colOff>381000</xdr:colOff>
      <xdr:row>46</xdr:row>
      <xdr:rowOff>114300</xdr:rowOff>
    </xdr:to>
    <xdr:pic>
      <xdr:nvPicPr>
        <xdr:cNvPr id="308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15325" y="5762625"/>
          <a:ext cx="4171950" cy="3686175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390525</xdr:colOff>
      <xdr:row>2</xdr:row>
      <xdr:rowOff>47625</xdr:rowOff>
    </xdr:from>
    <xdr:to>
      <xdr:col>19</xdr:col>
      <xdr:colOff>295275</xdr:colOff>
      <xdr:row>20</xdr:row>
      <xdr:rowOff>38100</xdr:rowOff>
    </xdr:to>
    <xdr:pic>
      <xdr:nvPicPr>
        <xdr:cNvPr id="308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839200" y="1000125"/>
          <a:ext cx="4171950" cy="341947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266700</xdr:colOff>
      <xdr:row>19</xdr:row>
      <xdr:rowOff>161925</xdr:rowOff>
    </xdr:from>
    <xdr:to>
      <xdr:col>18</xdr:col>
      <xdr:colOff>504825</xdr:colOff>
      <xdr:row>27</xdr:row>
      <xdr:rowOff>9525</xdr:rowOff>
    </xdr:to>
    <xdr:pic>
      <xdr:nvPicPr>
        <xdr:cNvPr id="308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715375" y="4352925"/>
          <a:ext cx="3286125" cy="13716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152400</xdr:colOff>
      <xdr:row>46</xdr:row>
      <xdr:rowOff>95250</xdr:rowOff>
    </xdr:from>
    <xdr:to>
      <xdr:col>18</xdr:col>
      <xdr:colOff>523875</xdr:colOff>
      <xdr:row>53</xdr:row>
      <xdr:rowOff>95250</xdr:rowOff>
    </xdr:to>
    <xdr:pic>
      <xdr:nvPicPr>
        <xdr:cNvPr id="308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8601075" y="9429750"/>
          <a:ext cx="3419475" cy="1333500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133350</xdr:rowOff>
    </xdr:from>
    <xdr:to>
      <xdr:col>4</xdr:col>
      <xdr:colOff>457200</xdr:colOff>
      <xdr:row>17</xdr:row>
      <xdr:rowOff>114300</xdr:rowOff>
    </xdr:to>
    <xdr:pic>
      <xdr:nvPicPr>
        <xdr:cNvPr id="410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33350"/>
          <a:ext cx="4171950" cy="32480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18</xdr:row>
      <xdr:rowOff>104775</xdr:rowOff>
    </xdr:from>
    <xdr:to>
      <xdr:col>3</xdr:col>
      <xdr:colOff>1095375</xdr:colOff>
      <xdr:row>24</xdr:row>
      <xdr:rowOff>171450</xdr:rowOff>
    </xdr:to>
    <xdr:pic>
      <xdr:nvPicPr>
        <xdr:cNvPr id="410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3533775"/>
          <a:ext cx="3086100" cy="12096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0</xdr:row>
      <xdr:rowOff>133350</xdr:rowOff>
    </xdr:from>
    <xdr:to>
      <xdr:col>9</xdr:col>
      <xdr:colOff>628650</xdr:colOff>
      <xdr:row>19</xdr:row>
      <xdr:rowOff>28575</xdr:rowOff>
    </xdr:to>
    <xdr:pic>
      <xdr:nvPicPr>
        <xdr:cNvPr id="410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38700" y="133350"/>
          <a:ext cx="4124325" cy="35433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76200</xdr:colOff>
      <xdr:row>77</xdr:row>
      <xdr:rowOff>95250</xdr:rowOff>
    </xdr:from>
    <xdr:to>
      <xdr:col>6</xdr:col>
      <xdr:colOff>1028700</xdr:colOff>
      <xdr:row>77</xdr:row>
      <xdr:rowOff>104775</xdr:rowOff>
    </xdr:to>
    <xdr:cxnSp macro="">
      <xdr:nvCxnSpPr>
        <xdr:cNvPr id="12" name="Straight Arrow Connector 11"/>
        <xdr:cNvCxnSpPr/>
      </xdr:nvCxnSpPr>
      <xdr:spPr>
        <a:xfrm>
          <a:off x="5686425" y="10248900"/>
          <a:ext cx="9525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233363</xdr:colOff>
      <xdr:row>27</xdr:row>
      <xdr:rowOff>9525</xdr:rowOff>
    </xdr:from>
    <xdr:to>
      <xdr:col>8</xdr:col>
      <xdr:colOff>323853</xdr:colOff>
      <xdr:row>88</xdr:row>
      <xdr:rowOff>95251</xdr:rowOff>
    </xdr:to>
    <xdr:cxnSp macro="">
      <xdr:nvCxnSpPr>
        <xdr:cNvPr id="14" name="Straight Arrow Connector 13"/>
        <xdr:cNvCxnSpPr>
          <a:endCxn id="1026" idx="2"/>
        </xdr:cNvCxnSpPr>
      </xdr:nvCxnSpPr>
      <xdr:spPr>
        <a:xfrm flipH="1" flipV="1">
          <a:off x="6919913" y="4991100"/>
          <a:ext cx="890590" cy="1173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438150</xdr:colOff>
      <xdr:row>19</xdr:row>
      <xdr:rowOff>38100</xdr:rowOff>
    </xdr:from>
    <xdr:to>
      <xdr:col>9</xdr:col>
      <xdr:colOff>304800</xdr:colOff>
      <xdr:row>26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00650" y="3657600"/>
          <a:ext cx="3438525" cy="1304925"/>
        </a:xfrm>
        <a:prstGeom prst="rect">
          <a:avLst/>
        </a:prstGeom>
        <a:noFill/>
      </xdr:spPr>
    </xdr:pic>
    <xdr:clientData/>
  </xdr:twoCellAnchor>
  <xdr:twoCellAnchor>
    <xdr:from>
      <xdr:col>9</xdr:col>
      <xdr:colOff>933450</xdr:colOff>
      <xdr:row>85</xdr:row>
      <xdr:rowOff>0</xdr:rowOff>
    </xdr:from>
    <xdr:to>
      <xdr:col>11</xdr:col>
      <xdr:colOff>123825</xdr:colOff>
      <xdr:row>88</xdr:row>
      <xdr:rowOff>114300</xdr:rowOff>
    </xdr:to>
    <xdr:cxnSp macro="">
      <xdr:nvCxnSpPr>
        <xdr:cNvPr id="23" name="Straight Arrow Connector 22"/>
        <xdr:cNvCxnSpPr/>
      </xdr:nvCxnSpPr>
      <xdr:spPr>
        <a:xfrm flipV="1">
          <a:off x="9267825" y="16068675"/>
          <a:ext cx="1066800" cy="695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93"/>
  <sheetViews>
    <sheetView workbookViewId="0">
      <selection activeCell="B2" sqref="B2:L45"/>
    </sheetView>
  </sheetViews>
  <sheetFormatPr defaultRowHeight="15"/>
  <cols>
    <col min="4" max="4" width="57.7109375" customWidth="1"/>
    <col min="7" max="7" width="20.140625" bestFit="1" customWidth="1"/>
    <col min="11" max="11" width="9.140625" customWidth="1"/>
    <col min="12" max="12" width="12.7109375" customWidth="1"/>
  </cols>
  <sheetData>
    <row r="1" spans="2:12">
      <c r="G1" s="28" t="s">
        <v>88</v>
      </c>
    </row>
    <row r="2" spans="2:12">
      <c r="B2" s="1"/>
    </row>
    <row r="3" spans="2:12">
      <c r="F3" s="29" t="s">
        <v>1</v>
      </c>
      <c r="G3" s="29" t="s">
        <v>56</v>
      </c>
      <c r="H3" s="29" t="s">
        <v>55</v>
      </c>
      <c r="I3" s="29" t="s">
        <v>54</v>
      </c>
    </row>
    <row r="4" spans="2:12">
      <c r="F4" s="30">
        <v>1</v>
      </c>
      <c r="G4" s="31">
        <v>605202</v>
      </c>
      <c r="H4" s="30">
        <v>1</v>
      </c>
      <c r="I4" s="30">
        <v>10</v>
      </c>
      <c r="K4">
        <f>TYPE(G4)</f>
        <v>1</v>
      </c>
      <c r="L4" s="32" t="s">
        <v>87</v>
      </c>
    </row>
    <row r="5" spans="2:12">
      <c r="F5" s="30">
        <v>2</v>
      </c>
      <c r="G5" s="31">
        <v>398658</v>
      </c>
      <c r="H5" s="30">
        <v>1</v>
      </c>
      <c r="I5" s="30">
        <v>1</v>
      </c>
      <c r="L5" s="3"/>
    </row>
    <row r="6" spans="2:12">
      <c r="F6" s="30">
        <v>3</v>
      </c>
      <c r="G6" s="30" t="s">
        <v>63</v>
      </c>
      <c r="H6" s="30">
        <v>1</v>
      </c>
      <c r="I6" s="30">
        <v>10</v>
      </c>
      <c r="K6">
        <f>TYPE(G6)</f>
        <v>2</v>
      </c>
      <c r="L6" s="32" t="s">
        <v>86</v>
      </c>
    </row>
    <row r="7" spans="2:12">
      <c r="F7" s="30">
        <v>4</v>
      </c>
      <c r="G7" s="30" t="s">
        <v>64</v>
      </c>
      <c r="H7" s="30">
        <v>1</v>
      </c>
      <c r="I7" s="30">
        <v>20</v>
      </c>
      <c r="L7" s="3"/>
    </row>
    <row r="8" spans="2:12">
      <c r="F8" s="30">
        <v>5</v>
      </c>
      <c r="G8" s="31">
        <v>672828</v>
      </c>
      <c r="H8" s="30">
        <v>1</v>
      </c>
      <c r="I8" s="30">
        <v>17</v>
      </c>
      <c r="L8" s="3"/>
    </row>
    <row r="9" spans="2:12">
      <c r="F9" s="30">
        <v>6</v>
      </c>
      <c r="G9" s="31">
        <v>673062</v>
      </c>
      <c r="H9" s="30">
        <v>1</v>
      </c>
      <c r="I9" s="30">
        <v>22</v>
      </c>
      <c r="L9" s="3"/>
    </row>
    <row r="10" spans="2:12">
      <c r="F10" s="30">
        <v>7</v>
      </c>
      <c r="G10" s="31">
        <v>589134</v>
      </c>
      <c r="H10" s="30">
        <v>1</v>
      </c>
      <c r="I10" s="30">
        <v>8</v>
      </c>
      <c r="L10" s="3"/>
    </row>
    <row r="11" spans="2:12">
      <c r="F11" s="30">
        <v>8</v>
      </c>
      <c r="G11" s="31">
        <v>682734</v>
      </c>
      <c r="H11" s="30">
        <v>1</v>
      </c>
      <c r="I11" s="30">
        <v>19</v>
      </c>
      <c r="L11" s="3"/>
    </row>
    <row r="12" spans="2:12">
      <c r="F12" s="30">
        <v>9</v>
      </c>
      <c r="G12" s="30" t="s">
        <v>65</v>
      </c>
      <c r="H12" s="30">
        <v>1</v>
      </c>
      <c r="I12" s="30">
        <v>5</v>
      </c>
      <c r="K12">
        <f>TYPE(G12)</f>
        <v>2</v>
      </c>
      <c r="L12" s="32" t="s">
        <v>89</v>
      </c>
    </row>
    <row r="13" spans="2:12">
      <c r="F13" s="30">
        <v>10</v>
      </c>
      <c r="G13" s="31">
        <v>4584060000000000</v>
      </c>
      <c r="H13" s="30">
        <v>1</v>
      </c>
      <c r="I13" s="30">
        <v>5</v>
      </c>
      <c r="L13" s="3"/>
    </row>
    <row r="14" spans="2:12">
      <c r="F14" s="30">
        <v>11</v>
      </c>
      <c r="G14" s="31">
        <v>5402280000000000</v>
      </c>
      <c r="H14" s="30">
        <v>1</v>
      </c>
      <c r="I14" s="30">
        <v>15</v>
      </c>
      <c r="K14" s="43" t="s">
        <v>97</v>
      </c>
      <c r="L14" s="3"/>
    </row>
    <row r="15" spans="2:12">
      <c r="F15" s="30">
        <v>12</v>
      </c>
      <c r="G15" s="30" t="s">
        <v>66</v>
      </c>
      <c r="H15" s="30">
        <v>1</v>
      </c>
      <c r="I15" s="30">
        <v>2</v>
      </c>
      <c r="K15" s="30" t="str">
        <f>REPLACE(G15,4,1,",")</f>
        <v>412,23</v>
      </c>
      <c r="L15" s="33">
        <f>VALUE(K15)</f>
        <v>412.23</v>
      </c>
    </row>
    <row r="16" spans="2:12">
      <c r="F16" s="30">
        <v>13</v>
      </c>
      <c r="G16" s="31">
        <v>635778</v>
      </c>
      <c r="H16" s="30">
        <v>1</v>
      </c>
      <c r="I16" s="30">
        <v>12</v>
      </c>
      <c r="L16" s="44" t="s">
        <v>98</v>
      </c>
    </row>
    <row r="17" spans="6:12">
      <c r="F17" s="30">
        <v>14</v>
      </c>
      <c r="G17" s="31">
        <v>459498</v>
      </c>
      <c r="H17" s="30">
        <v>1</v>
      </c>
      <c r="I17" s="30">
        <v>8</v>
      </c>
      <c r="L17" s="3"/>
    </row>
    <row r="18" spans="6:12">
      <c r="F18" s="30">
        <v>15</v>
      </c>
      <c r="G18" s="31">
        <v>7143240000000000</v>
      </c>
      <c r="H18" s="30">
        <v>1</v>
      </c>
      <c r="I18" s="30">
        <v>20</v>
      </c>
      <c r="K18" t="s">
        <v>90</v>
      </c>
      <c r="L18" s="34" t="s">
        <v>91</v>
      </c>
    </row>
    <row r="19" spans="6:12">
      <c r="F19" s="30">
        <v>16</v>
      </c>
      <c r="G19" s="31">
        <v>4172220000000000</v>
      </c>
      <c r="H19" s="30">
        <v>1</v>
      </c>
      <c r="I19" s="30">
        <v>3</v>
      </c>
      <c r="L19" s="3"/>
    </row>
    <row r="20" spans="6:12">
      <c r="F20" s="30">
        <v>17</v>
      </c>
      <c r="G20" s="31">
        <v>5399160000000000</v>
      </c>
      <c r="H20" s="30">
        <v>1</v>
      </c>
      <c r="I20" s="30">
        <v>5</v>
      </c>
      <c r="L20" s="3"/>
    </row>
    <row r="21" spans="6:12">
      <c r="F21" s="30">
        <v>18</v>
      </c>
      <c r="G21" s="30" t="s">
        <v>67</v>
      </c>
      <c r="H21" s="30">
        <v>1</v>
      </c>
      <c r="I21" s="30">
        <v>11</v>
      </c>
      <c r="L21" s="3"/>
    </row>
    <row r="22" spans="6:12">
      <c r="F22" s="30">
        <v>19</v>
      </c>
      <c r="G22" s="30" t="s">
        <v>68</v>
      </c>
      <c r="H22" s="30">
        <v>1</v>
      </c>
      <c r="I22" s="30">
        <v>6</v>
      </c>
      <c r="L22" s="3"/>
    </row>
    <row r="23" spans="6:12">
      <c r="F23" s="30">
        <v>20</v>
      </c>
      <c r="G23" s="31">
        <v>548496</v>
      </c>
      <c r="H23" s="30">
        <v>1</v>
      </c>
      <c r="I23" s="30">
        <v>7</v>
      </c>
      <c r="L23" s="3"/>
    </row>
    <row r="24" spans="6:12">
      <c r="F24" s="30">
        <v>21</v>
      </c>
      <c r="G24" s="31">
        <v>4045080000000000</v>
      </c>
      <c r="H24" s="30">
        <v>1</v>
      </c>
      <c r="I24" s="30">
        <v>1</v>
      </c>
      <c r="L24" s="3"/>
    </row>
    <row r="25" spans="6:12">
      <c r="F25" s="30">
        <v>22</v>
      </c>
      <c r="G25" s="31">
        <v>592722</v>
      </c>
      <c r="H25" s="30">
        <v>1</v>
      </c>
      <c r="I25" s="30">
        <v>7</v>
      </c>
      <c r="L25" s="3"/>
    </row>
    <row r="26" spans="6:12">
      <c r="F26" s="30">
        <v>23</v>
      </c>
      <c r="G26" s="30" t="s">
        <v>69</v>
      </c>
      <c r="H26" s="30">
        <v>1</v>
      </c>
      <c r="I26" s="30">
        <v>16</v>
      </c>
      <c r="L26" s="3"/>
    </row>
    <row r="27" spans="6:12">
      <c r="F27" s="30">
        <v>24</v>
      </c>
      <c r="G27" s="31">
        <v>568152</v>
      </c>
      <c r="H27" s="30">
        <v>1</v>
      </c>
      <c r="I27" s="30">
        <v>6</v>
      </c>
      <c r="L27" s="3"/>
    </row>
    <row r="28" spans="6:12">
      <c r="F28" s="30">
        <v>25</v>
      </c>
      <c r="G28" s="31">
        <v>6494280000000000</v>
      </c>
      <c r="H28" s="30">
        <v>1</v>
      </c>
      <c r="I28" s="30">
        <v>15</v>
      </c>
      <c r="L28" s="3"/>
    </row>
    <row r="29" spans="6:12">
      <c r="F29" s="30">
        <v>26</v>
      </c>
      <c r="G29" s="30" t="s">
        <v>70</v>
      </c>
      <c r="H29" s="30">
        <v>1</v>
      </c>
      <c r="I29" s="30">
        <v>8</v>
      </c>
      <c r="L29" s="3"/>
    </row>
    <row r="30" spans="6:12">
      <c r="F30" s="30">
        <v>27</v>
      </c>
      <c r="G30" s="30" t="s">
        <v>71</v>
      </c>
      <c r="H30" s="30">
        <v>1</v>
      </c>
      <c r="I30" s="30">
        <v>4</v>
      </c>
      <c r="L30" s="3"/>
    </row>
    <row r="31" spans="6:12">
      <c r="F31" s="30">
        <v>28</v>
      </c>
      <c r="G31" s="31">
        <v>4486560000000000</v>
      </c>
      <c r="H31" s="30">
        <v>1</v>
      </c>
      <c r="I31" s="30">
        <v>4</v>
      </c>
      <c r="L31" s="3"/>
    </row>
    <row r="32" spans="6:12">
      <c r="F32" s="30">
        <v>29</v>
      </c>
      <c r="G32" s="30" t="s">
        <v>72</v>
      </c>
      <c r="H32" s="30">
        <v>1</v>
      </c>
      <c r="I32" s="30">
        <v>7</v>
      </c>
      <c r="L32" s="3"/>
    </row>
    <row r="33" spans="6:12">
      <c r="F33" s="30">
        <v>30</v>
      </c>
      <c r="G33" s="31">
        <v>6077760000000000</v>
      </c>
      <c r="H33" s="30">
        <v>1</v>
      </c>
      <c r="I33" s="30">
        <v>10</v>
      </c>
      <c r="L33" s="3"/>
    </row>
    <row r="34" spans="6:12">
      <c r="F34" s="30">
        <v>31</v>
      </c>
      <c r="G34" s="31">
        <v>398736</v>
      </c>
      <c r="H34" s="30">
        <v>1</v>
      </c>
      <c r="I34" s="30">
        <v>3</v>
      </c>
      <c r="L34" s="3"/>
    </row>
    <row r="35" spans="6:12">
      <c r="F35" s="30">
        <v>32</v>
      </c>
      <c r="G35" s="30" t="s">
        <v>73</v>
      </c>
      <c r="H35" s="30">
        <v>1</v>
      </c>
      <c r="I35" s="30">
        <v>4</v>
      </c>
      <c r="L35" s="3"/>
    </row>
    <row r="36" spans="6:12">
      <c r="F36" s="30">
        <v>33</v>
      </c>
      <c r="G36" s="30" t="s">
        <v>74</v>
      </c>
      <c r="H36" s="30">
        <v>1</v>
      </c>
      <c r="I36" s="30">
        <v>3</v>
      </c>
      <c r="L36" s="3"/>
    </row>
    <row r="37" spans="6:12">
      <c r="F37" s="30">
        <v>34</v>
      </c>
      <c r="G37" s="30" t="s">
        <v>75</v>
      </c>
      <c r="H37" s="30">
        <v>1</v>
      </c>
      <c r="I37" s="30">
        <v>22</v>
      </c>
      <c r="L37" s="3"/>
    </row>
    <row r="38" spans="6:12">
      <c r="F38" s="30">
        <v>35</v>
      </c>
      <c r="G38" s="31">
        <v>602316</v>
      </c>
      <c r="H38" s="30">
        <v>1</v>
      </c>
      <c r="I38" s="30">
        <v>17</v>
      </c>
      <c r="L38" s="3"/>
    </row>
    <row r="39" spans="6:12">
      <c r="F39" s="30">
        <v>36</v>
      </c>
      <c r="G39" s="31">
        <v>5025540000000000</v>
      </c>
      <c r="H39" s="30">
        <v>1</v>
      </c>
      <c r="I39" s="30">
        <v>11</v>
      </c>
      <c r="L39" s="3"/>
    </row>
    <row r="40" spans="6:12">
      <c r="F40" s="30">
        <v>37</v>
      </c>
      <c r="G40" s="31">
        <v>608166</v>
      </c>
      <c r="H40" s="30">
        <v>1</v>
      </c>
      <c r="I40" s="30">
        <v>15</v>
      </c>
      <c r="L40" s="3"/>
    </row>
    <row r="41" spans="6:12">
      <c r="F41" s="30">
        <v>38</v>
      </c>
      <c r="G41" s="31">
        <v>410592</v>
      </c>
      <c r="H41" s="30">
        <v>1</v>
      </c>
      <c r="I41" s="30">
        <v>6</v>
      </c>
      <c r="L41" s="3"/>
    </row>
    <row r="42" spans="6:12">
      <c r="F42" s="30">
        <v>39</v>
      </c>
      <c r="G42" s="30" t="s">
        <v>76</v>
      </c>
      <c r="H42" s="30">
        <v>1</v>
      </c>
      <c r="I42" s="30">
        <v>10</v>
      </c>
      <c r="L42" s="3"/>
    </row>
    <row r="43" spans="6:12">
      <c r="F43" s="30">
        <v>40</v>
      </c>
      <c r="G43" s="31">
        <v>6209580000000000</v>
      </c>
      <c r="H43" s="30">
        <v>1</v>
      </c>
      <c r="I43" s="30">
        <v>13</v>
      </c>
      <c r="L43" s="3"/>
    </row>
    <row r="44" spans="6:12">
      <c r="F44" s="30">
        <v>41</v>
      </c>
      <c r="G44" s="31">
        <v>530634</v>
      </c>
      <c r="H44" s="30">
        <v>1</v>
      </c>
      <c r="I44" s="30">
        <v>9</v>
      </c>
    </row>
    <row r="45" spans="6:12">
      <c r="F45" s="30">
        <v>42</v>
      </c>
      <c r="G45" s="31">
        <v>671346</v>
      </c>
      <c r="H45" s="30">
        <v>1</v>
      </c>
      <c r="I45" s="30">
        <v>24</v>
      </c>
    </row>
    <row r="46" spans="6:12">
      <c r="F46" s="30">
        <v>43</v>
      </c>
      <c r="G46" s="31">
        <v>731562</v>
      </c>
      <c r="H46" s="30">
        <v>1</v>
      </c>
      <c r="I46" s="30">
        <v>21</v>
      </c>
    </row>
    <row r="47" spans="6:12">
      <c r="F47" s="30">
        <v>44</v>
      </c>
      <c r="G47" s="31">
        <v>5210399999999990</v>
      </c>
      <c r="H47" s="30">
        <v>1</v>
      </c>
      <c r="I47" s="30">
        <v>5</v>
      </c>
    </row>
    <row r="48" spans="6:12">
      <c r="F48" s="30">
        <v>45</v>
      </c>
      <c r="G48" s="31">
        <v>5580900000000000</v>
      </c>
      <c r="H48" s="30">
        <v>1</v>
      </c>
      <c r="I48" s="30">
        <v>10</v>
      </c>
    </row>
    <row r="49" spans="6:9">
      <c r="F49" s="30">
        <v>46</v>
      </c>
      <c r="G49" s="31">
        <v>449982</v>
      </c>
      <c r="H49" s="30">
        <v>1</v>
      </c>
      <c r="I49" s="30">
        <v>6</v>
      </c>
    </row>
    <row r="50" spans="6:9">
      <c r="F50" s="30">
        <v>47</v>
      </c>
      <c r="G50" s="30" t="s">
        <v>77</v>
      </c>
      <c r="H50" s="30">
        <v>1</v>
      </c>
      <c r="I50" s="30">
        <v>7</v>
      </c>
    </row>
    <row r="51" spans="6:9">
      <c r="F51" s="30">
        <v>48</v>
      </c>
      <c r="G51" s="31">
        <v>6711120000000000</v>
      </c>
      <c r="H51" s="30">
        <v>1</v>
      </c>
      <c r="I51" s="30">
        <v>15</v>
      </c>
    </row>
    <row r="52" spans="6:9">
      <c r="F52" s="30">
        <v>49</v>
      </c>
      <c r="G52" s="31">
        <v>427908</v>
      </c>
      <c r="H52" s="30">
        <v>1</v>
      </c>
      <c r="I52" s="30">
        <v>3</v>
      </c>
    </row>
    <row r="53" spans="6:9">
      <c r="F53" s="30">
        <v>50</v>
      </c>
      <c r="G53" s="31">
        <v>592332</v>
      </c>
      <c r="H53" s="30">
        <v>1</v>
      </c>
      <c r="I53" s="30">
        <v>14</v>
      </c>
    </row>
    <row r="54" spans="6:9">
      <c r="F54" s="30">
        <v>51</v>
      </c>
      <c r="G54" s="30" t="s">
        <v>78</v>
      </c>
      <c r="H54" s="30">
        <v>0</v>
      </c>
      <c r="I54" s="30">
        <v>15</v>
      </c>
    </row>
    <row r="55" spans="6:9">
      <c r="F55" s="30">
        <v>52</v>
      </c>
      <c r="G55" s="31">
        <v>218052</v>
      </c>
      <c r="H55" s="30">
        <v>0</v>
      </c>
      <c r="I55" s="30">
        <v>1</v>
      </c>
    </row>
    <row r="56" spans="6:9">
      <c r="F56" s="30">
        <v>53</v>
      </c>
      <c r="G56" s="31">
        <v>387396</v>
      </c>
      <c r="H56" s="30">
        <v>0</v>
      </c>
      <c r="I56" s="30">
        <v>12</v>
      </c>
    </row>
    <row r="57" spans="6:9">
      <c r="F57" s="30">
        <v>54</v>
      </c>
      <c r="G57" s="31">
        <v>346356</v>
      </c>
      <c r="H57" s="30">
        <v>0</v>
      </c>
      <c r="I57" s="30">
        <v>9</v>
      </c>
    </row>
    <row r="58" spans="6:9">
      <c r="F58" s="30">
        <v>55</v>
      </c>
      <c r="G58" s="31">
        <v>256014</v>
      </c>
      <c r="H58" s="30">
        <v>0</v>
      </c>
      <c r="I58" s="30">
        <v>5</v>
      </c>
    </row>
    <row r="59" spans="6:9">
      <c r="F59" s="30">
        <v>56</v>
      </c>
      <c r="G59" s="31">
        <v>251046</v>
      </c>
      <c r="H59" s="30">
        <v>0</v>
      </c>
      <c r="I59" s="30">
        <v>3</v>
      </c>
    </row>
    <row r="60" spans="6:9">
      <c r="F60" s="30">
        <v>57</v>
      </c>
      <c r="G60" s="31">
        <v>273348</v>
      </c>
      <c r="H60" s="30">
        <v>0</v>
      </c>
      <c r="I60" s="30">
        <v>7</v>
      </c>
    </row>
    <row r="61" spans="6:9">
      <c r="F61" s="30">
        <v>58</v>
      </c>
      <c r="G61" s="31">
        <v>3977100000000000</v>
      </c>
      <c r="H61" s="30">
        <v>0</v>
      </c>
      <c r="I61" s="30">
        <v>17</v>
      </c>
    </row>
    <row r="62" spans="6:9">
      <c r="F62" s="30">
        <v>59</v>
      </c>
      <c r="G62" s="31">
        <v>392202</v>
      </c>
      <c r="H62" s="30">
        <v>0</v>
      </c>
      <c r="I62" s="30">
        <v>19</v>
      </c>
    </row>
    <row r="63" spans="6:9">
      <c r="F63" s="30">
        <v>60</v>
      </c>
      <c r="G63" s="31">
        <v>394254</v>
      </c>
      <c r="H63" s="30">
        <v>0</v>
      </c>
      <c r="I63" s="30">
        <v>15</v>
      </c>
    </row>
    <row r="64" spans="6:9">
      <c r="F64" s="30">
        <v>61</v>
      </c>
      <c r="G64" s="31">
        <v>2851740000000000</v>
      </c>
      <c r="H64" s="30">
        <v>0</v>
      </c>
      <c r="I64" s="30">
        <v>6</v>
      </c>
    </row>
    <row r="65" spans="6:9">
      <c r="F65" s="30">
        <v>62</v>
      </c>
      <c r="G65" s="31">
        <v>244566</v>
      </c>
      <c r="H65" s="30">
        <v>0</v>
      </c>
      <c r="I65" s="30">
        <v>3</v>
      </c>
    </row>
    <row r="66" spans="6:9">
      <c r="F66" s="30">
        <v>63</v>
      </c>
      <c r="G66" s="31">
        <v>387612</v>
      </c>
      <c r="H66" s="30">
        <v>0</v>
      </c>
      <c r="I66" s="30">
        <v>17</v>
      </c>
    </row>
    <row r="67" spans="6:9">
      <c r="F67" s="30">
        <v>64</v>
      </c>
      <c r="G67" s="31">
        <v>253314</v>
      </c>
      <c r="H67" s="30">
        <v>0</v>
      </c>
      <c r="I67" s="30">
        <v>4</v>
      </c>
    </row>
    <row r="68" spans="6:9">
      <c r="F68" s="30">
        <v>65</v>
      </c>
      <c r="G68" s="31">
        <v>333612</v>
      </c>
      <c r="H68" s="30">
        <v>0</v>
      </c>
      <c r="I68" s="30">
        <v>10</v>
      </c>
    </row>
    <row r="69" spans="6:9">
      <c r="F69" s="30">
        <v>66</v>
      </c>
      <c r="G69" s="30" t="s">
        <v>79</v>
      </c>
      <c r="H69" s="30">
        <v>0</v>
      </c>
      <c r="I69" s="30">
        <v>4</v>
      </c>
    </row>
    <row r="70" spans="6:9">
      <c r="F70" s="30">
        <v>67</v>
      </c>
      <c r="G70" s="31">
        <v>374922</v>
      </c>
      <c r="H70" s="30">
        <v>0</v>
      </c>
      <c r="I70" s="30">
        <v>11</v>
      </c>
    </row>
    <row r="71" spans="6:9">
      <c r="F71" s="30">
        <v>68</v>
      </c>
      <c r="G71" s="30" t="s">
        <v>80</v>
      </c>
      <c r="H71" s="30">
        <v>0</v>
      </c>
      <c r="I71" s="30">
        <v>10</v>
      </c>
    </row>
    <row r="72" spans="6:9">
      <c r="F72" s="30">
        <v>69</v>
      </c>
      <c r="G72" s="30" t="s">
        <v>81</v>
      </c>
      <c r="H72" s="30">
        <v>0</v>
      </c>
      <c r="I72" s="30">
        <v>7</v>
      </c>
    </row>
    <row r="73" spans="6:9">
      <c r="F73" s="30">
        <v>70</v>
      </c>
      <c r="G73" s="31">
        <v>268974</v>
      </c>
      <c r="H73" s="30">
        <v>0</v>
      </c>
      <c r="I73" s="30">
        <v>3</v>
      </c>
    </row>
    <row r="74" spans="6:9">
      <c r="F74" s="30">
        <v>71</v>
      </c>
      <c r="G74" s="31">
        <v>4067279999999990</v>
      </c>
      <c r="H74" s="30">
        <v>0</v>
      </c>
      <c r="I74" s="30">
        <v>20</v>
      </c>
    </row>
    <row r="75" spans="6:9">
      <c r="F75" s="30">
        <v>72</v>
      </c>
      <c r="G75" s="31">
        <v>3632040000000000</v>
      </c>
      <c r="H75" s="30">
        <v>0</v>
      </c>
      <c r="I75" s="30">
        <v>16</v>
      </c>
    </row>
    <row r="76" spans="6:9">
      <c r="F76" s="30">
        <v>73</v>
      </c>
      <c r="G76" s="31">
        <v>377406</v>
      </c>
      <c r="H76" s="30">
        <v>0</v>
      </c>
      <c r="I76" s="30">
        <v>17</v>
      </c>
    </row>
    <row r="77" spans="6:9">
      <c r="F77" s="30">
        <v>74</v>
      </c>
      <c r="G77" s="31">
        <v>368874</v>
      </c>
      <c r="H77" s="30">
        <v>0</v>
      </c>
      <c r="I77" s="30">
        <v>14</v>
      </c>
    </row>
    <row r="78" spans="6:9">
      <c r="F78" s="30">
        <v>75</v>
      </c>
      <c r="G78" s="31">
        <v>401274</v>
      </c>
      <c r="H78" s="30">
        <v>0</v>
      </c>
      <c r="I78" s="30">
        <v>12</v>
      </c>
    </row>
    <row r="79" spans="6:9">
      <c r="F79" s="30">
        <v>76</v>
      </c>
      <c r="G79" s="31">
        <v>428328</v>
      </c>
      <c r="H79" s="30">
        <v>0</v>
      </c>
      <c r="I79" s="30">
        <v>22</v>
      </c>
    </row>
    <row r="80" spans="6:9">
      <c r="F80" s="30">
        <v>77</v>
      </c>
      <c r="G80" s="31">
        <v>354942</v>
      </c>
      <c r="H80" s="30">
        <v>0</v>
      </c>
      <c r="I80" s="30">
        <v>8</v>
      </c>
    </row>
    <row r="81" spans="6:9">
      <c r="F81" s="30">
        <v>78</v>
      </c>
      <c r="G81" s="31">
        <v>4271939999999990</v>
      </c>
      <c r="H81" s="30">
        <v>0</v>
      </c>
      <c r="I81" s="30">
        <v>21</v>
      </c>
    </row>
    <row r="82" spans="6:9">
      <c r="F82" s="30">
        <v>79</v>
      </c>
      <c r="G82" s="31">
        <v>318384</v>
      </c>
      <c r="H82" s="30">
        <v>0</v>
      </c>
      <c r="I82" s="30">
        <v>14</v>
      </c>
    </row>
    <row r="83" spans="6:9">
      <c r="F83" s="30">
        <v>80</v>
      </c>
      <c r="G83" s="31">
        <v>242244</v>
      </c>
      <c r="H83" s="30">
        <v>0</v>
      </c>
      <c r="I83" s="30">
        <v>2</v>
      </c>
    </row>
    <row r="84" spans="6:9">
      <c r="F84" s="30">
        <v>81</v>
      </c>
      <c r="G84" s="30" t="s">
        <v>82</v>
      </c>
      <c r="H84" s="30">
        <v>0</v>
      </c>
      <c r="I84" s="30">
        <v>8</v>
      </c>
    </row>
    <row r="85" spans="6:9">
      <c r="F85" s="30">
        <v>82</v>
      </c>
      <c r="G85" s="31">
        <v>254232</v>
      </c>
      <c r="H85" s="30">
        <v>0</v>
      </c>
      <c r="I85" s="30">
        <v>4</v>
      </c>
    </row>
    <row r="86" spans="6:9">
      <c r="F86" s="30">
        <v>83</v>
      </c>
      <c r="G86" s="30" t="s">
        <v>83</v>
      </c>
      <c r="H86" s="30">
        <v>0</v>
      </c>
      <c r="I86" s="30">
        <v>11</v>
      </c>
    </row>
    <row r="87" spans="6:9">
      <c r="F87" s="30">
        <v>84</v>
      </c>
      <c r="G87" s="31">
        <v>3483540000000000</v>
      </c>
      <c r="H87" s="30">
        <v>0</v>
      </c>
      <c r="I87" s="30">
        <v>10</v>
      </c>
    </row>
    <row r="88" spans="6:9">
      <c r="F88" s="30">
        <v>85</v>
      </c>
      <c r="G88" s="31">
        <v>402948</v>
      </c>
      <c r="H88" s="30">
        <v>0</v>
      </c>
      <c r="I88" s="30">
        <v>18</v>
      </c>
    </row>
    <row r="89" spans="6:9">
      <c r="F89" s="30">
        <v>86</v>
      </c>
      <c r="G89" s="30" t="s">
        <v>84</v>
      </c>
      <c r="H89" s="30">
        <v>0</v>
      </c>
      <c r="I89" s="30">
        <v>25</v>
      </c>
    </row>
    <row r="90" spans="6:9">
      <c r="F90" s="30">
        <v>87</v>
      </c>
      <c r="G90" s="30" t="s">
        <v>85</v>
      </c>
      <c r="H90" s="30">
        <v>0</v>
      </c>
      <c r="I90" s="30">
        <v>11</v>
      </c>
    </row>
    <row r="91" spans="6:9">
      <c r="F91" s="30">
        <v>88</v>
      </c>
      <c r="G91" s="31">
        <v>374976</v>
      </c>
      <c r="H91" s="30">
        <v>0</v>
      </c>
      <c r="I91" s="30">
        <v>17</v>
      </c>
    </row>
    <row r="92" spans="6:9">
      <c r="F92" s="30">
        <v>89</v>
      </c>
      <c r="G92" s="31">
        <v>411696</v>
      </c>
      <c r="H92" s="30">
        <v>0</v>
      </c>
      <c r="I92" s="30">
        <v>19</v>
      </c>
    </row>
    <row r="93" spans="6:9">
      <c r="F93" s="30">
        <v>90</v>
      </c>
      <c r="G93" s="31">
        <v>261576</v>
      </c>
      <c r="H93" s="30">
        <v>0</v>
      </c>
      <c r="I93" s="30">
        <v>7</v>
      </c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94"/>
  <sheetViews>
    <sheetView topLeftCell="Q1" zoomScaleNormal="100" workbookViewId="0">
      <selection activeCell="AB4" sqref="AB4:AE44"/>
    </sheetView>
  </sheetViews>
  <sheetFormatPr defaultRowHeight="15"/>
  <cols>
    <col min="3" max="3" width="13.7109375" bestFit="1" customWidth="1"/>
    <col min="4" max="4" width="12" bestFit="1" customWidth="1"/>
    <col min="5" max="15" width="12" customWidth="1"/>
    <col min="16" max="16" width="11.7109375" customWidth="1"/>
    <col min="17" max="22" width="11.28515625" customWidth="1"/>
    <col min="23" max="23" width="13.7109375" bestFit="1" customWidth="1"/>
    <col min="24" max="25" width="12.5703125" bestFit="1" customWidth="1"/>
    <col min="26" max="26" width="12.5703125" customWidth="1"/>
    <col min="29" max="29" width="13.7109375" bestFit="1" customWidth="1"/>
    <col min="30" max="30" width="12" bestFit="1" customWidth="1"/>
  </cols>
  <sheetData>
    <row r="1" spans="1:31">
      <c r="AA1" s="36"/>
    </row>
    <row r="2" spans="1:31">
      <c r="B2" s="6" t="s">
        <v>0</v>
      </c>
      <c r="C2" s="7"/>
      <c r="D2" s="7"/>
      <c r="F2" s="4" t="s">
        <v>52</v>
      </c>
      <c r="G2" s="5"/>
      <c r="H2" s="5"/>
      <c r="J2" s="9" t="s">
        <v>53</v>
      </c>
      <c r="K2" s="10"/>
      <c r="L2" s="10"/>
      <c r="N2" s="11" t="s">
        <v>57</v>
      </c>
      <c r="O2" s="12"/>
      <c r="P2" s="12"/>
      <c r="R2" s="15" t="s">
        <v>61</v>
      </c>
      <c r="S2" s="16"/>
      <c r="T2" s="16"/>
      <c r="V2" s="19" t="s">
        <v>62</v>
      </c>
      <c r="W2" s="20"/>
      <c r="X2" s="20"/>
      <c r="Y2" s="20"/>
      <c r="Z2" s="20"/>
      <c r="AA2" s="36"/>
      <c r="AB2" s="21" t="s">
        <v>45</v>
      </c>
      <c r="AC2" s="22"/>
      <c r="AD2" s="22"/>
      <c r="AE2" s="22"/>
    </row>
    <row r="3" spans="1:31">
      <c r="B3" s="7"/>
      <c r="C3" s="7"/>
      <c r="D3" s="7"/>
      <c r="F3" s="5"/>
      <c r="G3" s="5"/>
      <c r="H3" s="5"/>
      <c r="J3" s="10"/>
      <c r="K3" s="10"/>
      <c r="L3" s="10"/>
      <c r="N3" s="12"/>
      <c r="O3" s="12"/>
      <c r="P3" s="12"/>
      <c r="R3" s="16"/>
      <c r="S3" s="16"/>
      <c r="T3" s="16"/>
      <c r="V3" s="20"/>
      <c r="W3" s="20"/>
      <c r="X3" s="20"/>
      <c r="Y3" s="20"/>
      <c r="Z3" s="20"/>
      <c r="AA3" s="36"/>
      <c r="AB3" s="22"/>
      <c r="AC3" s="22"/>
      <c r="AD3" s="22"/>
      <c r="AE3" s="22"/>
    </row>
    <row r="4" spans="1:31">
      <c r="B4" s="7" t="s">
        <v>46</v>
      </c>
      <c r="C4" s="7" t="s">
        <v>47</v>
      </c>
      <c r="D4" s="7" t="s">
        <v>48</v>
      </c>
      <c r="F4" s="5" t="s">
        <v>49</v>
      </c>
      <c r="G4" s="5" t="s">
        <v>50</v>
      </c>
      <c r="H4" s="5" t="s">
        <v>51</v>
      </c>
      <c r="J4" s="10" t="s">
        <v>49</v>
      </c>
      <c r="K4" s="10" t="s">
        <v>50</v>
      </c>
      <c r="L4" s="10" t="s">
        <v>51</v>
      </c>
      <c r="N4" s="13" t="s">
        <v>54</v>
      </c>
      <c r="O4" s="13" t="s">
        <v>55</v>
      </c>
      <c r="P4" s="13" t="s">
        <v>56</v>
      </c>
      <c r="Q4" s="2"/>
      <c r="R4" s="17" t="s">
        <v>58</v>
      </c>
      <c r="S4" s="17" t="s">
        <v>59</v>
      </c>
      <c r="T4" s="17" t="s">
        <v>60</v>
      </c>
      <c r="V4" s="60" t="s">
        <v>138</v>
      </c>
      <c r="W4" s="60" t="s">
        <v>139</v>
      </c>
      <c r="X4" s="60" t="s">
        <v>140</v>
      </c>
      <c r="Y4" s="60" t="s">
        <v>141</v>
      </c>
      <c r="Z4" s="60" t="s">
        <v>174</v>
      </c>
      <c r="AA4" s="36"/>
      <c r="AB4" s="23" t="s">
        <v>1</v>
      </c>
      <c r="AC4" s="23" t="s">
        <v>2</v>
      </c>
      <c r="AD4" s="22" t="s">
        <v>3</v>
      </c>
      <c r="AE4" s="22" t="s">
        <v>4</v>
      </c>
    </row>
    <row r="5" spans="1:31">
      <c r="A5">
        <v>1</v>
      </c>
      <c r="B5" s="8">
        <v>37288</v>
      </c>
      <c r="C5" s="7">
        <v>1106.73</v>
      </c>
      <c r="D5" s="7">
        <v>1130.2</v>
      </c>
      <c r="F5" s="5">
        <v>1.3</v>
      </c>
      <c r="G5" s="5">
        <v>5.69</v>
      </c>
      <c r="H5" s="5">
        <v>73.2</v>
      </c>
      <c r="J5" s="10">
        <v>1.3</v>
      </c>
      <c r="K5" s="10">
        <v>5.69</v>
      </c>
      <c r="L5" s="10">
        <v>73.2</v>
      </c>
      <c r="N5" s="12">
        <v>10</v>
      </c>
      <c r="O5" s="12">
        <v>1</v>
      </c>
      <c r="P5" s="14">
        <v>605.202</v>
      </c>
      <c r="Q5" s="2"/>
      <c r="R5" s="18">
        <v>810</v>
      </c>
      <c r="S5" s="18">
        <v>80</v>
      </c>
      <c r="T5" s="18">
        <v>70</v>
      </c>
      <c r="V5" s="59">
        <v>5200</v>
      </c>
      <c r="W5" s="59">
        <v>1374</v>
      </c>
      <c r="X5" s="59">
        <v>191000</v>
      </c>
      <c r="Y5" s="59">
        <v>3</v>
      </c>
      <c r="Z5" s="59">
        <v>0</v>
      </c>
      <c r="AA5" s="36"/>
      <c r="AB5" s="22" t="s">
        <v>5</v>
      </c>
      <c r="AC5" s="24">
        <v>33.745902884567002</v>
      </c>
      <c r="AD5" s="22">
        <v>0.92127400000000004</v>
      </c>
      <c r="AE5" s="22">
        <v>0.56253916806722604</v>
      </c>
    </row>
    <row r="6" spans="1:31">
      <c r="A6">
        <f>A5+1</f>
        <v>2</v>
      </c>
      <c r="B6" s="8">
        <v>37316</v>
      </c>
      <c r="C6" s="7">
        <v>1147.3900000000001</v>
      </c>
      <c r="D6" s="7">
        <v>1119.5</v>
      </c>
      <c r="F6" s="5">
        <v>2.9</v>
      </c>
      <c r="G6" s="5">
        <v>6.49</v>
      </c>
      <c r="H6" s="5">
        <v>71.8</v>
      </c>
      <c r="J6" s="10">
        <v>2.9</v>
      </c>
      <c r="K6" s="10">
        <v>6.49</v>
      </c>
      <c r="L6" s="10">
        <v>71.8</v>
      </c>
      <c r="N6" s="12">
        <v>1</v>
      </c>
      <c r="O6" s="12">
        <v>1</v>
      </c>
      <c r="P6" s="14">
        <v>398.65800000000002</v>
      </c>
      <c r="R6" s="16">
        <v>1009</v>
      </c>
      <c r="S6" s="16">
        <v>100</v>
      </c>
      <c r="T6" s="16">
        <v>65</v>
      </c>
      <c r="V6" s="59">
        <v>6000</v>
      </c>
      <c r="W6" s="59">
        <v>1767</v>
      </c>
      <c r="X6" s="59">
        <v>206000</v>
      </c>
      <c r="Y6" s="59">
        <v>3</v>
      </c>
      <c r="Z6" s="59">
        <v>0</v>
      </c>
      <c r="AA6" s="36"/>
      <c r="AB6" s="22" t="s">
        <v>6</v>
      </c>
      <c r="AC6" s="24">
        <v>34.949235972658599</v>
      </c>
      <c r="AD6" s="22">
        <v>0.93121666666666603</v>
      </c>
      <c r="AE6" s="22">
        <v>0.56412665266106399</v>
      </c>
    </row>
    <row r="7" spans="1:31">
      <c r="A7">
        <f t="shared" ref="A7:A70" si="0">A6+1</f>
        <v>3</v>
      </c>
      <c r="B7" s="8">
        <v>37347</v>
      </c>
      <c r="C7" s="7">
        <v>1076.92</v>
      </c>
      <c r="D7" s="7">
        <v>1144</v>
      </c>
      <c r="F7" s="5">
        <v>0.8</v>
      </c>
      <c r="G7" s="5">
        <v>5.63</v>
      </c>
      <c r="H7" s="5">
        <v>62.4</v>
      </c>
      <c r="J7" s="10">
        <v>0.8</v>
      </c>
      <c r="K7" s="10">
        <v>5.63</v>
      </c>
      <c r="L7" s="10">
        <v>62.4</v>
      </c>
      <c r="N7" s="12">
        <v>10</v>
      </c>
      <c r="O7" s="12">
        <v>1</v>
      </c>
      <c r="P7" s="14">
        <v>582.66</v>
      </c>
      <c r="R7" s="16">
        <v>1273</v>
      </c>
      <c r="S7" s="16">
        <v>120</v>
      </c>
      <c r="T7" s="16">
        <v>90</v>
      </c>
      <c r="V7" s="59">
        <v>2892</v>
      </c>
      <c r="W7" s="59">
        <v>1890</v>
      </c>
      <c r="X7" s="59">
        <v>240000</v>
      </c>
      <c r="Y7" s="59">
        <v>3</v>
      </c>
      <c r="Z7" s="59">
        <v>0</v>
      </c>
      <c r="AA7" s="36"/>
      <c r="AB7" s="22" t="s">
        <v>7</v>
      </c>
      <c r="AC7" s="24">
        <v>40.094836708549899</v>
      </c>
      <c r="AD7" s="22">
        <v>0.95033499999999904</v>
      </c>
      <c r="AE7" s="22">
        <v>0.56717915966386501</v>
      </c>
    </row>
    <row r="8" spans="1:31">
      <c r="A8">
        <f t="shared" si="0"/>
        <v>4</v>
      </c>
      <c r="B8" s="8">
        <v>37377</v>
      </c>
      <c r="C8" s="7">
        <v>1067.1400000000001</v>
      </c>
      <c r="D8" s="7">
        <v>1052.8</v>
      </c>
      <c r="F8" s="5">
        <v>0.7</v>
      </c>
      <c r="G8" s="5">
        <v>6.22</v>
      </c>
      <c r="H8" s="5">
        <v>67.400000000000006</v>
      </c>
      <c r="J8" s="10">
        <v>0.7</v>
      </c>
      <c r="K8" s="10">
        <v>6.22</v>
      </c>
      <c r="L8" s="10">
        <v>67.400000000000006</v>
      </c>
      <c r="N8" s="12">
        <v>20</v>
      </c>
      <c r="O8" s="12">
        <v>1</v>
      </c>
      <c r="P8" s="14">
        <v>689.91</v>
      </c>
      <c r="Q8" s="2"/>
      <c r="R8" s="18">
        <v>1425</v>
      </c>
      <c r="S8" s="18">
        <v>140</v>
      </c>
      <c r="T8" s="18">
        <v>95</v>
      </c>
      <c r="V8" s="59">
        <v>6460</v>
      </c>
      <c r="W8" s="59">
        <v>1899</v>
      </c>
      <c r="X8" s="59">
        <v>212000</v>
      </c>
      <c r="Y8" s="59">
        <v>3</v>
      </c>
      <c r="Z8" s="59">
        <v>0</v>
      </c>
      <c r="AA8" s="36"/>
      <c r="AB8" s="22" t="s">
        <v>8</v>
      </c>
      <c r="AC8" s="24">
        <v>40.1045655370228</v>
      </c>
      <c r="AD8" s="22">
        <v>0.99682749999999998</v>
      </c>
      <c r="AE8" s="22">
        <v>0.57460233193277299</v>
      </c>
    </row>
    <row r="9" spans="1:31">
      <c r="A9">
        <f t="shared" si="0"/>
        <v>5</v>
      </c>
      <c r="B9" s="8">
        <v>37408</v>
      </c>
      <c r="C9" s="7">
        <v>989.82</v>
      </c>
      <c r="D9" s="7">
        <v>1056.5</v>
      </c>
      <c r="F9" s="5">
        <v>1.5</v>
      </c>
      <c r="G9" s="5">
        <v>5.0199999999999996</v>
      </c>
      <c r="H9" s="5">
        <v>89.3</v>
      </c>
      <c r="J9" s="10">
        <v>1.5</v>
      </c>
      <c r="K9" s="10">
        <v>5.0199999999999996</v>
      </c>
      <c r="L9" s="10">
        <v>89.3</v>
      </c>
      <c r="N9" s="12">
        <v>17</v>
      </c>
      <c r="O9" s="12">
        <v>1</v>
      </c>
      <c r="P9" s="14">
        <v>672.82799999999997</v>
      </c>
      <c r="Q9" s="2"/>
      <c r="R9" s="18">
        <v>1633</v>
      </c>
      <c r="S9" s="18">
        <v>160</v>
      </c>
      <c r="T9" s="18">
        <v>110</v>
      </c>
      <c r="V9" s="59">
        <v>5922</v>
      </c>
      <c r="W9" s="59">
        <v>2000</v>
      </c>
      <c r="X9" s="59">
        <v>240000</v>
      </c>
      <c r="Y9" s="59">
        <v>4</v>
      </c>
      <c r="Z9" s="59">
        <v>0</v>
      </c>
      <c r="AA9" s="36"/>
      <c r="AB9" s="22" t="s">
        <v>9</v>
      </c>
      <c r="AC9" s="24">
        <v>38.250491419364501</v>
      </c>
      <c r="AD9" s="25">
        <v>1.0021249999999999</v>
      </c>
      <c r="AE9" s="22">
        <v>0.57544815126050397</v>
      </c>
    </row>
    <row r="10" spans="1:31">
      <c r="A10">
        <f t="shared" si="0"/>
        <v>6</v>
      </c>
      <c r="B10" s="8">
        <v>37438</v>
      </c>
      <c r="C10" s="7">
        <v>911.62</v>
      </c>
      <c r="D10" s="7">
        <v>969.3</v>
      </c>
      <c r="F10" s="5">
        <v>1.3</v>
      </c>
      <c r="G10" s="5">
        <v>6.41</v>
      </c>
      <c r="H10" s="5">
        <v>70.3</v>
      </c>
      <c r="J10" s="10">
        <v>1.3</v>
      </c>
      <c r="K10" s="10">
        <v>6.41</v>
      </c>
      <c r="L10" s="10">
        <v>70.3</v>
      </c>
      <c r="N10" s="12">
        <v>22</v>
      </c>
      <c r="O10" s="12">
        <v>1</v>
      </c>
      <c r="P10" s="14">
        <v>673.06200000000001</v>
      </c>
      <c r="Q10" s="2"/>
      <c r="R10" s="18">
        <v>1876</v>
      </c>
      <c r="S10" s="18">
        <v>180</v>
      </c>
      <c r="T10" s="18">
        <v>115</v>
      </c>
      <c r="V10" s="59">
        <v>6003</v>
      </c>
      <c r="W10" s="59">
        <v>1768</v>
      </c>
      <c r="X10" s="59">
        <v>225000</v>
      </c>
      <c r="Y10" s="59">
        <v>3</v>
      </c>
      <c r="Z10" s="59">
        <v>0</v>
      </c>
      <c r="AA10" s="36"/>
      <c r="AB10" s="22" t="s">
        <v>10</v>
      </c>
      <c r="AC10" s="24">
        <v>44.726822140244998</v>
      </c>
      <c r="AD10" s="25">
        <v>1.0091812499999999</v>
      </c>
      <c r="AE10" s="22">
        <v>0.582634779411764</v>
      </c>
    </row>
    <row r="11" spans="1:31">
      <c r="A11">
        <f t="shared" si="0"/>
        <v>7</v>
      </c>
      <c r="B11" s="8">
        <v>37469</v>
      </c>
      <c r="C11" s="7">
        <v>916.07</v>
      </c>
      <c r="D11" s="7">
        <v>889</v>
      </c>
      <c r="F11" s="5">
        <v>1.8</v>
      </c>
      <c r="G11" s="5">
        <v>5.85</v>
      </c>
      <c r="H11" s="5">
        <v>73.2</v>
      </c>
      <c r="J11" s="10">
        <v>1.8</v>
      </c>
      <c r="K11" s="10">
        <v>5.85</v>
      </c>
      <c r="L11" s="10">
        <v>73.2</v>
      </c>
      <c r="N11" s="12">
        <v>8</v>
      </c>
      <c r="O11" s="12">
        <v>1</v>
      </c>
      <c r="P11" s="14">
        <v>589.13400000000001</v>
      </c>
      <c r="Q11" s="2"/>
      <c r="R11" s="18">
        <v>2052</v>
      </c>
      <c r="S11" s="18">
        <v>200</v>
      </c>
      <c r="T11" s="18">
        <v>120</v>
      </c>
      <c r="V11" s="59">
        <v>5218</v>
      </c>
      <c r="W11" s="59">
        <v>1732</v>
      </c>
      <c r="X11" s="59">
        <v>150000</v>
      </c>
      <c r="Y11" s="59">
        <v>4</v>
      </c>
      <c r="Z11" s="59">
        <v>0</v>
      </c>
      <c r="AA11" s="36"/>
      <c r="AB11" s="22" t="s">
        <v>11</v>
      </c>
      <c r="AC11" s="24">
        <v>47.874444571772003</v>
      </c>
      <c r="AD11" s="25">
        <v>1.0826962499999999</v>
      </c>
      <c r="AE11" s="22">
        <v>0.611585960743801</v>
      </c>
    </row>
    <row r="12" spans="1:31">
      <c r="A12">
        <f t="shared" si="0"/>
        <v>8</v>
      </c>
      <c r="B12" s="8">
        <v>37500</v>
      </c>
      <c r="C12" s="7">
        <v>815.28</v>
      </c>
      <c r="D12" s="7">
        <v>908.5</v>
      </c>
      <c r="F12" s="5">
        <v>2.4</v>
      </c>
      <c r="G12" s="5">
        <v>5.41</v>
      </c>
      <c r="H12" s="5">
        <v>86.1</v>
      </c>
      <c r="J12" s="10">
        <v>2.4</v>
      </c>
      <c r="K12" s="10">
        <v>5.41</v>
      </c>
      <c r="L12" s="10">
        <v>86.1</v>
      </c>
      <c r="N12" s="12">
        <v>19</v>
      </c>
      <c r="O12" s="12">
        <v>1</v>
      </c>
      <c r="P12" s="14">
        <v>682.73400000000004</v>
      </c>
      <c r="R12" s="16">
        <v>2201</v>
      </c>
      <c r="S12" s="16">
        <v>220</v>
      </c>
      <c r="T12" s="16">
        <v>140</v>
      </c>
      <c r="V12" s="59">
        <v>6114</v>
      </c>
      <c r="W12" s="59">
        <v>1932</v>
      </c>
      <c r="X12" s="59">
        <v>275000</v>
      </c>
      <c r="Y12" s="59">
        <v>3</v>
      </c>
      <c r="Z12" s="59">
        <v>0</v>
      </c>
      <c r="AA12" s="36"/>
      <c r="AB12" s="22" t="s">
        <v>12</v>
      </c>
      <c r="AC12" s="24">
        <v>52.158626805388103</v>
      </c>
      <c r="AD12" s="25">
        <v>1.1013725000000001</v>
      </c>
      <c r="AE12" s="22">
        <v>0.61482729338842901</v>
      </c>
    </row>
    <row r="13" spans="1:31">
      <c r="A13">
        <f t="shared" si="0"/>
        <v>9</v>
      </c>
      <c r="B13" s="8">
        <v>37530</v>
      </c>
      <c r="C13" s="7">
        <v>885.76</v>
      </c>
      <c r="D13" s="7">
        <v>847.5</v>
      </c>
      <c r="F13" s="5">
        <v>0.7</v>
      </c>
      <c r="G13" s="5">
        <v>6.24</v>
      </c>
      <c r="H13" s="5">
        <v>81</v>
      </c>
      <c r="J13" s="10">
        <v>0.7</v>
      </c>
      <c r="K13" s="10">
        <v>6.24</v>
      </c>
      <c r="L13" s="10">
        <v>81</v>
      </c>
      <c r="N13" s="12">
        <v>5</v>
      </c>
      <c r="O13" s="12">
        <v>1</v>
      </c>
      <c r="P13" s="14">
        <v>416.52</v>
      </c>
      <c r="Q13" s="2"/>
      <c r="R13" s="18">
        <v>2435</v>
      </c>
      <c r="S13" s="18">
        <v>240</v>
      </c>
      <c r="T13" s="18">
        <v>155</v>
      </c>
      <c r="V13" s="59">
        <v>6710</v>
      </c>
      <c r="W13" s="59">
        <v>1932</v>
      </c>
      <c r="X13" s="59">
        <v>230000</v>
      </c>
      <c r="Y13" s="59">
        <v>3</v>
      </c>
      <c r="Z13" s="59">
        <v>0</v>
      </c>
      <c r="AA13" s="36"/>
      <c r="AB13" s="22" t="s">
        <v>13</v>
      </c>
      <c r="AC13" s="24">
        <v>51.324539209752501</v>
      </c>
      <c r="AD13" s="25">
        <v>1.14554625</v>
      </c>
      <c r="AE13" s="22">
        <v>0.62249381198347098</v>
      </c>
    </row>
    <row r="14" spans="1:31">
      <c r="A14">
        <f t="shared" si="0"/>
        <v>10</v>
      </c>
      <c r="B14" s="8">
        <v>37561</v>
      </c>
      <c r="C14" s="7">
        <v>936.31</v>
      </c>
      <c r="D14" s="7">
        <v>901.5</v>
      </c>
      <c r="F14" s="5">
        <v>3</v>
      </c>
      <c r="G14" s="5">
        <v>6.2</v>
      </c>
      <c r="H14" s="5">
        <v>76.400000000000006</v>
      </c>
      <c r="J14" s="10">
        <v>3</v>
      </c>
      <c r="K14" s="10">
        <v>6.2</v>
      </c>
      <c r="L14" s="10">
        <v>76.400000000000006</v>
      </c>
      <c r="N14" s="12">
        <v>5</v>
      </c>
      <c r="O14" s="12">
        <v>1</v>
      </c>
      <c r="P14" s="14">
        <v>458.40600000000001</v>
      </c>
      <c r="Q14" s="2"/>
      <c r="R14" s="18">
        <v>2686</v>
      </c>
      <c r="S14" s="18">
        <v>260</v>
      </c>
      <c r="T14" s="18">
        <v>150</v>
      </c>
      <c r="V14" s="59">
        <v>15086</v>
      </c>
      <c r="W14" s="59">
        <v>2829</v>
      </c>
      <c r="X14" s="59">
        <v>335000</v>
      </c>
      <c r="Y14" s="59">
        <v>4</v>
      </c>
      <c r="Z14" s="59">
        <v>0</v>
      </c>
      <c r="AA14" s="36"/>
      <c r="AB14" s="22" t="s">
        <v>14</v>
      </c>
      <c r="AC14" s="24">
        <v>48.778462572034002</v>
      </c>
      <c r="AD14" s="25">
        <v>1.1592487499999999</v>
      </c>
      <c r="AE14" s="22">
        <v>0.62487193181818101</v>
      </c>
    </row>
    <row r="15" spans="1:31">
      <c r="A15">
        <f t="shared" si="0"/>
        <v>11</v>
      </c>
      <c r="B15" s="8">
        <v>37591</v>
      </c>
      <c r="C15" s="7">
        <v>879.82</v>
      </c>
      <c r="D15" s="7">
        <v>932.2</v>
      </c>
      <c r="F15" s="5">
        <v>2.8</v>
      </c>
      <c r="G15" s="5">
        <v>5.48</v>
      </c>
      <c r="H15" s="5">
        <v>76.599999999999994</v>
      </c>
      <c r="J15" s="10">
        <v>2.8</v>
      </c>
      <c r="K15" s="10">
        <v>5.48</v>
      </c>
      <c r="L15" s="10">
        <v>76.599999999999994</v>
      </c>
      <c r="N15" s="12">
        <v>15</v>
      </c>
      <c r="O15" s="12">
        <v>1</v>
      </c>
      <c r="P15" s="14">
        <v>540.22799999999995</v>
      </c>
      <c r="R15" s="18">
        <f>AVERAGE(R5:R14)</f>
        <v>1740</v>
      </c>
      <c r="S15" s="18">
        <f t="shared" ref="S15:T15" si="1">AVERAGE(S5:S14)</f>
        <v>170</v>
      </c>
      <c r="T15" s="18">
        <f t="shared" si="1"/>
        <v>111</v>
      </c>
      <c r="V15" s="59">
        <v>3500</v>
      </c>
      <c r="W15" s="59">
        <v>1702</v>
      </c>
      <c r="X15" s="59">
        <v>190000</v>
      </c>
      <c r="Y15" s="59">
        <v>4</v>
      </c>
      <c r="Z15" s="59">
        <v>0</v>
      </c>
      <c r="AA15" s="36"/>
      <c r="AB15" s="22" t="s">
        <v>15</v>
      </c>
      <c r="AC15" s="24">
        <v>46.813943040099403</v>
      </c>
      <c r="AD15" s="25">
        <v>1.115435</v>
      </c>
      <c r="AE15" s="22">
        <v>0.617267892561983</v>
      </c>
    </row>
    <row r="16" spans="1:31">
      <c r="A16">
        <f t="shared" si="0"/>
        <v>12</v>
      </c>
      <c r="B16" s="8">
        <v>37622</v>
      </c>
      <c r="C16" s="7">
        <v>855.7</v>
      </c>
      <c r="D16" s="7">
        <v>879.9</v>
      </c>
      <c r="F16" s="5">
        <v>2.7</v>
      </c>
      <c r="G16" s="5">
        <v>6.14</v>
      </c>
      <c r="H16" s="5">
        <v>82.2</v>
      </c>
      <c r="J16" s="10">
        <v>2.7</v>
      </c>
      <c r="K16" s="10">
        <v>6.14</v>
      </c>
      <c r="L16" s="10">
        <v>82.2</v>
      </c>
      <c r="N16" s="12">
        <v>2</v>
      </c>
      <c r="O16" s="12">
        <v>1</v>
      </c>
      <c r="P16" s="14">
        <v>412.23</v>
      </c>
      <c r="Q16" s="2"/>
      <c r="R16" s="2"/>
      <c r="S16" s="2"/>
      <c r="T16" s="2"/>
      <c r="U16" s="2"/>
      <c r="V16" s="59">
        <v>8880</v>
      </c>
      <c r="W16" s="59">
        <v>1421</v>
      </c>
      <c r="X16" s="59">
        <v>225000</v>
      </c>
      <c r="Y16" s="59">
        <v>2</v>
      </c>
      <c r="Z16" s="59">
        <v>0</v>
      </c>
      <c r="AA16" s="36"/>
      <c r="AB16" s="22" t="s">
        <v>16</v>
      </c>
      <c r="AC16" s="24">
        <v>47.999622190009802</v>
      </c>
      <c r="AD16" s="25">
        <v>1.0811375000000001</v>
      </c>
      <c r="AE16" s="22">
        <v>0.61131543388429699</v>
      </c>
    </row>
    <row r="17" spans="1:31">
      <c r="A17">
        <f t="shared" si="0"/>
        <v>13</v>
      </c>
      <c r="B17" s="8">
        <v>37653</v>
      </c>
      <c r="C17" s="7">
        <v>841.15</v>
      </c>
      <c r="D17" s="7">
        <v>857</v>
      </c>
      <c r="F17" s="5">
        <v>2.8</v>
      </c>
      <c r="G17" s="5">
        <v>5.37</v>
      </c>
      <c r="H17" s="5">
        <v>82.1</v>
      </c>
      <c r="J17" s="10">
        <v>2.8</v>
      </c>
      <c r="K17" s="10">
        <v>5.37</v>
      </c>
      <c r="L17" s="10">
        <v>82.1</v>
      </c>
      <c r="N17" s="12">
        <v>12</v>
      </c>
      <c r="O17" s="12">
        <v>1</v>
      </c>
      <c r="P17" s="14">
        <v>635.77800000000002</v>
      </c>
      <c r="Q17" s="2"/>
      <c r="R17" s="2"/>
      <c r="S17" s="2"/>
      <c r="T17" s="2"/>
      <c r="U17" s="2"/>
      <c r="V17" s="59">
        <v>5305</v>
      </c>
      <c r="W17" s="59">
        <v>1171</v>
      </c>
      <c r="X17" s="59">
        <v>230000</v>
      </c>
      <c r="Y17" s="59">
        <v>3</v>
      </c>
      <c r="Z17" s="59">
        <v>0</v>
      </c>
      <c r="AA17" s="36"/>
      <c r="AB17" s="22" t="s">
        <v>17</v>
      </c>
      <c r="AC17" s="24">
        <v>52.076471260247601</v>
      </c>
      <c r="AD17" s="26">
        <v>1.0933333333333299</v>
      </c>
      <c r="AE17" s="22">
        <v>0.62593206611570196</v>
      </c>
    </row>
    <row r="18" spans="1:31">
      <c r="A18">
        <f t="shared" si="0"/>
        <v>14</v>
      </c>
      <c r="B18" s="8">
        <v>37681</v>
      </c>
      <c r="C18" s="7">
        <v>848.18</v>
      </c>
      <c r="D18" s="7">
        <v>844.4</v>
      </c>
      <c r="F18" s="5">
        <v>2.8</v>
      </c>
      <c r="G18" s="5">
        <v>6.45</v>
      </c>
      <c r="H18" s="5">
        <v>68.599999999999994</v>
      </c>
      <c r="J18" s="10">
        <v>2.8</v>
      </c>
      <c r="K18" s="10">
        <v>6.45</v>
      </c>
      <c r="L18" s="10">
        <v>68.599999999999994</v>
      </c>
      <c r="N18" s="12">
        <v>8</v>
      </c>
      <c r="O18" s="12">
        <v>1</v>
      </c>
      <c r="P18" s="14">
        <v>459.49799999999999</v>
      </c>
      <c r="Q18" s="2"/>
      <c r="R18" s="2"/>
      <c r="S18" s="2"/>
      <c r="T18" s="2"/>
      <c r="U18" s="2"/>
      <c r="V18" s="59">
        <v>1000</v>
      </c>
      <c r="W18" s="59">
        <v>2768</v>
      </c>
      <c r="X18" s="59">
        <v>313000</v>
      </c>
      <c r="Y18" s="59">
        <v>3</v>
      </c>
      <c r="Z18" s="59">
        <v>0</v>
      </c>
      <c r="AA18" s="36"/>
      <c r="AB18" s="22" t="s">
        <v>18</v>
      </c>
      <c r="AC18" s="24">
        <v>50.357252119366002</v>
      </c>
      <c r="AD18" s="25">
        <v>1.13305875</v>
      </c>
      <c r="AE18" s="22">
        <v>0.64532655991735499</v>
      </c>
    </row>
    <row r="19" spans="1:31">
      <c r="A19">
        <f t="shared" si="0"/>
        <v>15</v>
      </c>
      <c r="B19" s="8">
        <v>37712</v>
      </c>
      <c r="C19" s="7">
        <v>916.92</v>
      </c>
      <c r="D19" s="7">
        <v>856.2</v>
      </c>
      <c r="F19" s="5">
        <v>2.2999999999999998</v>
      </c>
      <c r="G19" s="5">
        <v>5.35</v>
      </c>
      <c r="H19" s="5">
        <v>76.5</v>
      </c>
      <c r="J19" s="10">
        <v>2.2999999999999998</v>
      </c>
      <c r="K19" s="10">
        <v>5.35</v>
      </c>
      <c r="L19" s="10">
        <v>76.5</v>
      </c>
      <c r="N19" s="12">
        <v>20</v>
      </c>
      <c r="O19" s="12">
        <v>1</v>
      </c>
      <c r="P19" s="14">
        <v>714.32399999999996</v>
      </c>
      <c r="Q19" s="2"/>
      <c r="R19" s="2"/>
      <c r="S19" s="2"/>
      <c r="T19" s="2"/>
      <c r="U19" s="2"/>
      <c r="V19" s="59">
        <v>8112</v>
      </c>
      <c r="W19" s="59">
        <v>3733</v>
      </c>
      <c r="X19" s="59">
        <v>417500</v>
      </c>
      <c r="Y19" s="59">
        <v>4</v>
      </c>
      <c r="Z19" s="59">
        <v>0</v>
      </c>
      <c r="AA19" s="36"/>
      <c r="AB19" s="22" t="s">
        <v>19</v>
      </c>
      <c r="AC19" s="24">
        <v>51.648158788387697</v>
      </c>
      <c r="AD19" s="25">
        <v>1.1326037499999999</v>
      </c>
      <c r="AE19" s="22">
        <v>0.64524759297520595</v>
      </c>
    </row>
    <row r="20" spans="1:31">
      <c r="A20">
        <f t="shared" si="0"/>
        <v>16</v>
      </c>
      <c r="B20" s="8">
        <v>37742</v>
      </c>
      <c r="C20" s="7">
        <v>963.59</v>
      </c>
      <c r="D20" s="7">
        <v>915.2</v>
      </c>
      <c r="F20" s="5">
        <v>1.7</v>
      </c>
      <c r="G20" s="5">
        <v>5.22</v>
      </c>
      <c r="H20" s="5">
        <v>80.3</v>
      </c>
      <c r="J20" s="10">
        <v>1.7</v>
      </c>
      <c r="K20" s="10">
        <v>5.22</v>
      </c>
      <c r="L20" s="10">
        <v>80.3</v>
      </c>
      <c r="N20" s="12">
        <v>3</v>
      </c>
      <c r="O20" s="12">
        <v>1</v>
      </c>
      <c r="P20" s="14">
        <v>417.22199999999998</v>
      </c>
      <c r="Q20" s="2"/>
      <c r="R20" s="2"/>
      <c r="S20" s="2"/>
      <c r="T20" s="2"/>
      <c r="U20" s="2"/>
      <c r="V20" s="59">
        <v>15267</v>
      </c>
      <c r="W20" s="59">
        <v>1478</v>
      </c>
      <c r="X20" s="59">
        <v>255000</v>
      </c>
      <c r="Y20" s="59">
        <v>2</v>
      </c>
      <c r="Z20" s="59">
        <v>0</v>
      </c>
      <c r="AA20" s="36"/>
      <c r="AB20" s="22" t="s">
        <v>20</v>
      </c>
      <c r="AC20" s="24">
        <v>57.325866524653399</v>
      </c>
      <c r="AD20" s="25">
        <v>1.164115</v>
      </c>
      <c r="AE20" s="22">
        <v>0.65071648760330503</v>
      </c>
    </row>
    <row r="21" spans="1:31">
      <c r="A21">
        <f t="shared" si="0"/>
        <v>17</v>
      </c>
      <c r="B21" s="8">
        <v>37773</v>
      </c>
      <c r="C21" s="7">
        <v>974.5</v>
      </c>
      <c r="D21" s="7">
        <v>966.5</v>
      </c>
      <c r="F21" s="5">
        <v>1.5</v>
      </c>
      <c r="G21" s="5">
        <v>5.89</v>
      </c>
      <c r="H21" s="5">
        <v>70.7</v>
      </c>
      <c r="J21" s="10">
        <v>1.5</v>
      </c>
      <c r="K21" s="10">
        <v>5.89</v>
      </c>
      <c r="L21" s="10">
        <v>70.7</v>
      </c>
      <c r="N21" s="12">
        <v>5</v>
      </c>
      <c r="O21" s="12">
        <v>1</v>
      </c>
      <c r="P21" s="14">
        <v>539.91600000000005</v>
      </c>
      <c r="V21" s="59">
        <v>5539</v>
      </c>
      <c r="W21" s="59">
        <v>2343</v>
      </c>
      <c r="X21" s="59">
        <v>316000</v>
      </c>
      <c r="Y21" s="59">
        <v>4</v>
      </c>
      <c r="Z21" s="59">
        <v>0</v>
      </c>
      <c r="AA21" s="36"/>
      <c r="AB21" s="22" t="s">
        <v>21</v>
      </c>
      <c r="AC21" s="24">
        <v>54.876837487641097</v>
      </c>
      <c r="AD21" s="25">
        <v>1.2125250000000001</v>
      </c>
      <c r="AE21" s="22">
        <v>0.65911822314049495</v>
      </c>
    </row>
    <row r="22" spans="1:31">
      <c r="A22">
        <f t="shared" si="0"/>
        <v>18</v>
      </c>
      <c r="B22" s="8">
        <v>37803</v>
      </c>
      <c r="C22" s="7">
        <v>990.31</v>
      </c>
      <c r="D22" s="7">
        <v>981</v>
      </c>
      <c r="F22" s="5">
        <v>0.8</v>
      </c>
      <c r="G22" s="5">
        <v>5.21</v>
      </c>
      <c r="H22" s="5">
        <v>75</v>
      </c>
      <c r="J22" s="10">
        <v>0.8</v>
      </c>
      <c r="K22" s="10">
        <v>5.21</v>
      </c>
      <c r="L22" s="10">
        <v>75</v>
      </c>
      <c r="N22" s="12">
        <v>11</v>
      </c>
      <c r="O22" s="12">
        <v>1</v>
      </c>
      <c r="P22" s="14">
        <v>664.95</v>
      </c>
      <c r="V22" s="59">
        <v>7566</v>
      </c>
      <c r="W22" s="59">
        <v>1567</v>
      </c>
      <c r="X22" s="59">
        <v>225000</v>
      </c>
      <c r="Y22" s="59">
        <v>3</v>
      </c>
      <c r="Z22" s="59">
        <v>0</v>
      </c>
      <c r="AA22" s="36"/>
      <c r="AB22" s="22" t="s">
        <v>22</v>
      </c>
      <c r="AC22" s="24">
        <v>54.125735371307101</v>
      </c>
      <c r="AD22" s="25">
        <v>1.2016962499999999</v>
      </c>
      <c r="AE22" s="22">
        <v>0.65723885330578502</v>
      </c>
    </row>
    <row r="23" spans="1:31">
      <c r="A23">
        <f t="shared" si="0"/>
        <v>19</v>
      </c>
      <c r="B23" s="8">
        <v>37834</v>
      </c>
      <c r="C23" s="7">
        <v>1008.01</v>
      </c>
      <c r="D23" s="7">
        <v>978.7</v>
      </c>
      <c r="F23" s="5">
        <v>2.9</v>
      </c>
      <c r="G23" s="5">
        <v>6</v>
      </c>
      <c r="H23" s="5">
        <v>73.7</v>
      </c>
      <c r="J23" s="10">
        <v>2.9</v>
      </c>
      <c r="K23" s="10">
        <v>6</v>
      </c>
      <c r="L23" s="10">
        <v>73.7</v>
      </c>
      <c r="N23" s="12">
        <v>6</v>
      </c>
      <c r="O23" s="12">
        <v>1</v>
      </c>
      <c r="P23" s="14">
        <v>415.35</v>
      </c>
      <c r="Q23" s="2"/>
      <c r="R23" s="2"/>
      <c r="S23" s="2"/>
      <c r="T23" s="2"/>
      <c r="U23" s="2"/>
      <c r="V23" s="59">
        <v>10859</v>
      </c>
      <c r="W23" s="59">
        <v>2709</v>
      </c>
      <c r="X23" s="59">
        <v>325000</v>
      </c>
      <c r="Y23" s="59">
        <v>4</v>
      </c>
      <c r="Z23" s="59">
        <v>0</v>
      </c>
      <c r="AA23" s="36"/>
      <c r="AB23" s="22" t="s">
        <v>23</v>
      </c>
      <c r="AC23" s="24">
        <v>58.0741258383038</v>
      </c>
      <c r="AD23" s="25">
        <v>1.2196640000000001</v>
      </c>
      <c r="AE23" s="22">
        <v>0.66035722314049605</v>
      </c>
    </row>
    <row r="24" spans="1:31">
      <c r="A24">
        <f t="shared" si="0"/>
        <v>20</v>
      </c>
      <c r="B24" s="8">
        <v>37865</v>
      </c>
      <c r="C24" s="7">
        <v>995.97</v>
      </c>
      <c r="D24" s="7">
        <v>1012.3</v>
      </c>
      <c r="F24" s="5">
        <v>0.5</v>
      </c>
      <c r="G24" s="5">
        <v>6.37</v>
      </c>
      <c r="H24" s="5">
        <v>71.2</v>
      </c>
      <c r="J24" s="10">
        <v>0.5</v>
      </c>
      <c r="K24" s="10">
        <v>6.37</v>
      </c>
      <c r="L24" s="10">
        <v>71.2</v>
      </c>
      <c r="N24" s="12">
        <v>7</v>
      </c>
      <c r="O24" s="12">
        <v>1</v>
      </c>
      <c r="P24" s="14">
        <v>548.49599999999998</v>
      </c>
      <c r="Q24" s="2"/>
      <c r="R24" s="2"/>
      <c r="S24" s="2"/>
      <c r="T24" s="2"/>
      <c r="U24" s="2"/>
      <c r="V24" s="59">
        <v>11554</v>
      </c>
      <c r="W24" s="59">
        <v>1694</v>
      </c>
      <c r="X24" s="59">
        <v>215000</v>
      </c>
      <c r="Y24" s="59">
        <v>3</v>
      </c>
      <c r="Z24" s="59">
        <v>0</v>
      </c>
      <c r="AA24" s="36"/>
      <c r="AB24" s="22" t="s">
        <v>24</v>
      </c>
      <c r="AC24" s="24">
        <v>57.066110294947599</v>
      </c>
      <c r="AD24" s="25">
        <v>1.2356462500000001</v>
      </c>
      <c r="AE24" s="22">
        <v>0.66313100206611497</v>
      </c>
    </row>
    <row r="25" spans="1:31">
      <c r="A25">
        <f t="shared" si="0"/>
        <v>21</v>
      </c>
      <c r="B25" s="8">
        <v>37895</v>
      </c>
      <c r="C25" s="7">
        <v>1050.71</v>
      </c>
      <c r="D25" s="7">
        <v>997.8</v>
      </c>
      <c r="F25" s="5">
        <v>2.1</v>
      </c>
      <c r="G25" s="5">
        <v>5.33</v>
      </c>
      <c r="H25" s="5">
        <v>84.7</v>
      </c>
      <c r="J25" s="10">
        <v>2.1</v>
      </c>
      <c r="K25" s="10">
        <v>5.33</v>
      </c>
      <c r="L25" s="10">
        <v>84.7</v>
      </c>
      <c r="N25" s="12">
        <v>1</v>
      </c>
      <c r="O25" s="12">
        <v>1</v>
      </c>
      <c r="P25" s="14">
        <v>404.50799999999998</v>
      </c>
      <c r="Q25" s="2"/>
      <c r="R25" s="2"/>
      <c r="S25" s="2"/>
      <c r="T25" s="2"/>
      <c r="U25" s="2"/>
      <c r="V25" s="59">
        <v>31000</v>
      </c>
      <c r="W25" s="59">
        <v>3662</v>
      </c>
      <c r="X25" s="59">
        <v>725000</v>
      </c>
      <c r="Y25" s="59">
        <v>5</v>
      </c>
      <c r="Z25" s="59">
        <v>0</v>
      </c>
      <c r="AA25" s="36"/>
      <c r="AB25" s="22" t="s">
        <v>25</v>
      </c>
      <c r="AC25" s="24">
        <v>48.485835075706603</v>
      </c>
      <c r="AD25" s="25">
        <v>1.1947049999999999</v>
      </c>
      <c r="AE25" s="22">
        <v>0.65602549586776804</v>
      </c>
    </row>
    <row r="26" spans="1:31">
      <c r="A26">
        <f t="shared" si="0"/>
        <v>22</v>
      </c>
      <c r="B26" s="8">
        <v>37926</v>
      </c>
      <c r="C26" s="7">
        <v>1058.2</v>
      </c>
      <c r="D26" s="7">
        <v>1047.5999999999999</v>
      </c>
      <c r="F26" s="5">
        <v>0.8</v>
      </c>
      <c r="G26" s="5">
        <v>5.23</v>
      </c>
      <c r="H26" s="5">
        <v>73.599999999999994</v>
      </c>
      <c r="J26" s="10">
        <v>0.8</v>
      </c>
      <c r="K26" s="10">
        <v>5.23</v>
      </c>
      <c r="L26" s="10">
        <v>73.599999999999994</v>
      </c>
      <c r="N26" s="12">
        <v>7</v>
      </c>
      <c r="O26" s="12">
        <v>1</v>
      </c>
      <c r="P26" s="14">
        <v>592.72199999999998</v>
      </c>
      <c r="V26" s="59">
        <v>20700</v>
      </c>
      <c r="W26" s="59">
        <v>2205</v>
      </c>
      <c r="X26" s="59">
        <v>306000</v>
      </c>
      <c r="Y26" s="59">
        <v>2</v>
      </c>
      <c r="Z26" s="59">
        <v>0</v>
      </c>
      <c r="AA26" s="36"/>
      <c r="AB26" s="22" t="s">
        <v>26</v>
      </c>
      <c r="AC26" s="24">
        <v>45.828512575541097</v>
      </c>
      <c r="AD26" s="25">
        <v>1.1186259999999999</v>
      </c>
      <c r="AE26" s="22">
        <v>0.64282170247933801</v>
      </c>
    </row>
    <row r="27" spans="1:31">
      <c r="A27">
        <f t="shared" si="0"/>
        <v>23</v>
      </c>
      <c r="B27" s="8">
        <v>37956</v>
      </c>
      <c r="C27" s="7">
        <v>1111.92</v>
      </c>
      <c r="D27" s="7">
        <v>1069.2</v>
      </c>
      <c r="F27" s="5">
        <v>1.1000000000000001</v>
      </c>
      <c r="G27" s="5">
        <v>5.88</v>
      </c>
      <c r="H27" s="5">
        <v>73.7</v>
      </c>
      <c r="J27" s="10">
        <v>1.1000000000000001</v>
      </c>
      <c r="K27" s="10">
        <v>5.88</v>
      </c>
      <c r="L27" s="10">
        <v>73.7</v>
      </c>
      <c r="N27" s="12">
        <v>16</v>
      </c>
      <c r="O27" s="12">
        <v>1</v>
      </c>
      <c r="P27" s="14">
        <v>708.63</v>
      </c>
      <c r="Q27" s="2"/>
      <c r="R27" s="2"/>
      <c r="S27" s="2"/>
      <c r="T27" s="2"/>
      <c r="U27" s="2"/>
      <c r="V27" s="59">
        <v>5525</v>
      </c>
      <c r="W27" s="59">
        <v>1502</v>
      </c>
      <c r="X27" s="59">
        <v>425000</v>
      </c>
      <c r="Y27" s="59">
        <v>3</v>
      </c>
      <c r="Z27" s="59">
        <v>0</v>
      </c>
      <c r="AA27" s="36"/>
      <c r="AB27" s="22" t="s">
        <v>27</v>
      </c>
      <c r="AC27" s="24">
        <v>45.732574377817699</v>
      </c>
      <c r="AD27" s="25">
        <v>1.1080725</v>
      </c>
      <c r="AE27" s="22">
        <v>0.64099010330578499</v>
      </c>
    </row>
    <row r="28" spans="1:31">
      <c r="A28">
        <f t="shared" si="0"/>
        <v>24</v>
      </c>
      <c r="B28" s="8">
        <v>37987</v>
      </c>
      <c r="C28" s="7">
        <v>1131.1300000000001</v>
      </c>
      <c r="D28" s="7">
        <v>1109.2</v>
      </c>
      <c r="F28" s="5">
        <v>1.9</v>
      </c>
      <c r="G28" s="5">
        <v>6.24</v>
      </c>
      <c r="H28" s="5">
        <v>78.099999999999994</v>
      </c>
      <c r="J28" s="10">
        <v>1.9</v>
      </c>
      <c r="K28" s="10">
        <v>6.24</v>
      </c>
      <c r="L28" s="10">
        <v>78.099999999999994</v>
      </c>
      <c r="N28" s="12">
        <v>6</v>
      </c>
      <c r="O28" s="12">
        <v>1</v>
      </c>
      <c r="P28" s="14">
        <v>568.15200000000004</v>
      </c>
      <c r="Q28" s="2"/>
      <c r="R28" s="2"/>
      <c r="S28" s="2"/>
      <c r="T28" s="2"/>
      <c r="U28" s="2"/>
      <c r="V28" s="59">
        <v>18838</v>
      </c>
      <c r="W28" s="59">
        <v>1294</v>
      </c>
      <c r="X28" s="59">
        <v>225000</v>
      </c>
      <c r="Y28" s="59">
        <v>3</v>
      </c>
      <c r="Z28" s="59">
        <v>0</v>
      </c>
      <c r="AA28" s="36"/>
      <c r="AB28" s="22" t="s">
        <v>28</v>
      </c>
      <c r="AC28" s="24">
        <v>47.182367314536897</v>
      </c>
      <c r="AD28" s="26">
        <v>1.18720166666666</v>
      </c>
      <c r="AE28" s="22">
        <v>0.65472326446280904</v>
      </c>
    </row>
    <row r="29" spans="1:31">
      <c r="A29">
        <f t="shared" si="0"/>
        <v>25</v>
      </c>
      <c r="B29" s="8">
        <v>38018</v>
      </c>
      <c r="C29" s="7">
        <v>1144.94</v>
      </c>
      <c r="D29" s="7">
        <v>1133.9000000000001</v>
      </c>
      <c r="F29" s="5">
        <v>2.1</v>
      </c>
      <c r="G29" s="5">
        <v>5.59</v>
      </c>
      <c r="H29" s="5">
        <v>75.7</v>
      </c>
      <c r="J29" s="10">
        <v>2.1</v>
      </c>
      <c r="K29" s="10">
        <v>5.59</v>
      </c>
      <c r="L29" s="10">
        <v>75.7</v>
      </c>
      <c r="N29" s="12">
        <v>15</v>
      </c>
      <c r="O29" s="12">
        <v>1</v>
      </c>
      <c r="P29" s="14">
        <v>649.428</v>
      </c>
      <c r="V29" s="59">
        <v>5828</v>
      </c>
      <c r="W29" s="59">
        <v>1715</v>
      </c>
      <c r="X29" s="59">
        <v>236000</v>
      </c>
      <c r="Y29" s="59">
        <v>3</v>
      </c>
      <c r="Z29" s="59">
        <v>0</v>
      </c>
      <c r="AA29" s="36"/>
      <c r="AB29" s="22" t="s">
        <v>29</v>
      </c>
      <c r="AC29" s="24">
        <v>41.296289847289501</v>
      </c>
      <c r="AD29" s="25">
        <v>1.1150774999999999</v>
      </c>
      <c r="AE29" s="22">
        <v>0.66408084710743698</v>
      </c>
    </row>
    <row r="30" spans="1:31">
      <c r="A30">
        <f t="shared" si="0"/>
        <v>26</v>
      </c>
      <c r="B30" s="8">
        <v>38047</v>
      </c>
      <c r="C30" s="7">
        <v>1126.21</v>
      </c>
      <c r="D30" s="7">
        <v>1155.7</v>
      </c>
      <c r="F30" s="5">
        <v>1.3</v>
      </c>
      <c r="G30" s="5">
        <v>6.22</v>
      </c>
      <c r="H30" s="5">
        <v>74.400000000000006</v>
      </c>
      <c r="J30" s="10">
        <v>1.3</v>
      </c>
      <c r="K30" s="10">
        <v>6.22</v>
      </c>
      <c r="L30" s="10">
        <v>74.400000000000006</v>
      </c>
      <c r="N30" s="12">
        <v>8</v>
      </c>
      <c r="O30" s="12">
        <v>1</v>
      </c>
      <c r="P30" s="14">
        <v>571.35</v>
      </c>
      <c r="V30" s="59">
        <v>6341</v>
      </c>
      <c r="W30" s="59">
        <v>1574</v>
      </c>
      <c r="X30" s="59">
        <v>202500</v>
      </c>
      <c r="Y30" s="59">
        <v>3</v>
      </c>
      <c r="Z30" s="59">
        <v>0</v>
      </c>
      <c r="AA30" s="36"/>
      <c r="AB30" s="22" t="s">
        <v>30</v>
      </c>
      <c r="AC30" s="24">
        <v>43.921849312362397</v>
      </c>
      <c r="AD30" s="25">
        <v>1.1089087500000001</v>
      </c>
      <c r="AE30" s="22">
        <v>0.66613523760330495</v>
      </c>
    </row>
    <row r="31" spans="1:31">
      <c r="A31">
        <f t="shared" si="0"/>
        <v>27</v>
      </c>
      <c r="B31" s="8">
        <v>38078</v>
      </c>
      <c r="C31" s="7">
        <v>1107.3</v>
      </c>
      <c r="D31" s="7">
        <v>1130.3</v>
      </c>
      <c r="F31" s="5">
        <v>1.1000000000000001</v>
      </c>
      <c r="G31" s="5">
        <v>6.41</v>
      </c>
      <c r="H31" s="5">
        <v>68.7</v>
      </c>
      <c r="J31" s="10">
        <v>1.1000000000000001</v>
      </c>
      <c r="K31" s="10">
        <v>6.41</v>
      </c>
      <c r="L31" s="10">
        <v>68.7</v>
      </c>
      <c r="N31" s="12">
        <v>4</v>
      </c>
      <c r="O31" s="12">
        <v>1</v>
      </c>
      <c r="P31" s="14">
        <v>498.81</v>
      </c>
      <c r="Q31" s="2"/>
      <c r="R31" s="2"/>
      <c r="S31" s="2"/>
      <c r="T31" s="2"/>
      <c r="U31" s="2"/>
      <c r="V31" s="59">
        <v>6362</v>
      </c>
      <c r="W31" s="59">
        <v>1185</v>
      </c>
      <c r="X31" s="59">
        <v>219000</v>
      </c>
      <c r="Y31" s="59">
        <v>2</v>
      </c>
      <c r="Z31" s="59">
        <v>0</v>
      </c>
      <c r="AA31" s="36"/>
      <c r="AB31" s="22" t="s">
        <v>31</v>
      </c>
      <c r="AC31" s="24">
        <v>46.9341378445367</v>
      </c>
      <c r="AD31" s="25">
        <v>1.1454212500000001</v>
      </c>
      <c r="AE31" s="22">
        <v>0.67247211776859495</v>
      </c>
    </row>
    <row r="32" spans="1:31">
      <c r="A32">
        <f t="shared" si="0"/>
        <v>28</v>
      </c>
      <c r="B32" s="8">
        <v>38108</v>
      </c>
      <c r="C32" s="7">
        <v>1120.68</v>
      </c>
      <c r="D32" s="7">
        <v>1105</v>
      </c>
      <c r="F32" s="5">
        <v>1.1000000000000001</v>
      </c>
      <c r="G32" s="5">
        <v>4.96</v>
      </c>
      <c r="H32" s="5">
        <v>83.9</v>
      </c>
      <c r="J32" s="10">
        <v>1.1000000000000001</v>
      </c>
      <c r="K32" s="10">
        <v>4.96</v>
      </c>
      <c r="L32" s="10">
        <v>83.9</v>
      </c>
      <c r="N32" s="12">
        <v>4</v>
      </c>
      <c r="O32" s="12">
        <v>1</v>
      </c>
      <c r="P32" s="14">
        <v>448.65600000000001</v>
      </c>
      <c r="V32" s="59">
        <v>6126</v>
      </c>
      <c r="W32" s="59">
        <v>2438</v>
      </c>
      <c r="X32" s="59">
        <v>300000</v>
      </c>
      <c r="Y32" s="59">
        <v>4</v>
      </c>
      <c r="Z32" s="59">
        <v>1</v>
      </c>
      <c r="AA32" s="36"/>
      <c r="AB32" s="22" t="s">
        <v>32</v>
      </c>
      <c r="AC32" s="24">
        <v>49.942446961362499</v>
      </c>
      <c r="AD32" s="25">
        <v>1.1819249999999999</v>
      </c>
      <c r="AE32" s="22">
        <v>0.678807479338842</v>
      </c>
    </row>
    <row r="33" spans="1:31">
      <c r="A33">
        <f t="shared" si="0"/>
        <v>29</v>
      </c>
      <c r="B33" s="8">
        <v>38139</v>
      </c>
      <c r="C33" s="7">
        <v>1140.8399999999999</v>
      </c>
      <c r="D33" s="7">
        <v>1120.9000000000001</v>
      </c>
      <c r="F33" s="5">
        <v>2.9</v>
      </c>
      <c r="G33" s="5">
        <v>4.83</v>
      </c>
      <c r="H33" s="5">
        <v>86.1</v>
      </c>
      <c r="J33" s="10">
        <v>2.9</v>
      </c>
      <c r="K33" s="10">
        <v>4.83</v>
      </c>
      <c r="L33" s="10">
        <v>86.1</v>
      </c>
      <c r="N33" s="12">
        <v>7</v>
      </c>
      <c r="O33" s="12">
        <v>1</v>
      </c>
      <c r="P33" s="14">
        <v>443.43</v>
      </c>
      <c r="Q33" s="2"/>
      <c r="R33" s="2"/>
      <c r="S33" s="2"/>
      <c r="T33" s="2"/>
      <c r="U33" s="2"/>
      <c r="V33" s="59">
        <v>9903</v>
      </c>
      <c r="W33" s="59">
        <v>2076</v>
      </c>
      <c r="X33" s="59">
        <v>370000</v>
      </c>
      <c r="Y33" s="59">
        <v>3</v>
      </c>
      <c r="Z33" s="59">
        <v>1</v>
      </c>
      <c r="AA33" s="36"/>
      <c r="AB33" s="22" t="s">
        <v>33</v>
      </c>
      <c r="AC33" s="24">
        <v>49.819255048742498</v>
      </c>
      <c r="AD33" s="26">
        <v>1.2098899999999999</v>
      </c>
      <c r="AE33" s="22">
        <v>0.68366090909090804</v>
      </c>
    </row>
    <row r="34" spans="1:31">
      <c r="A34">
        <f t="shared" si="0"/>
        <v>30</v>
      </c>
      <c r="B34" s="8">
        <v>38169</v>
      </c>
      <c r="C34" s="7">
        <v>1101.72</v>
      </c>
      <c r="D34" s="7">
        <v>1129</v>
      </c>
      <c r="F34" s="5">
        <v>1.4</v>
      </c>
      <c r="G34" s="5">
        <v>6.35</v>
      </c>
      <c r="H34" s="5">
        <v>73.7</v>
      </c>
      <c r="J34" s="10">
        <v>1.4</v>
      </c>
      <c r="K34" s="10">
        <v>6.35</v>
      </c>
      <c r="L34" s="10">
        <v>73.7</v>
      </c>
      <c r="N34" s="12">
        <v>10</v>
      </c>
      <c r="O34" s="12">
        <v>1</v>
      </c>
      <c r="P34" s="14">
        <v>607.77599999999995</v>
      </c>
      <c r="Q34" s="2"/>
      <c r="R34" s="2"/>
      <c r="S34" s="2"/>
      <c r="T34" s="2"/>
      <c r="U34" s="2"/>
      <c r="V34" s="59">
        <v>4600</v>
      </c>
      <c r="W34" s="59">
        <v>1448</v>
      </c>
      <c r="X34" s="59">
        <v>195000</v>
      </c>
      <c r="Y34" s="59">
        <v>3</v>
      </c>
      <c r="Z34" s="59">
        <v>1</v>
      </c>
      <c r="AA34" s="36"/>
      <c r="AB34" s="22" t="s">
        <v>34</v>
      </c>
      <c r="AC34" s="24">
        <v>53.285478360226698</v>
      </c>
      <c r="AD34" s="26">
        <v>1.2218100000000001</v>
      </c>
      <c r="AE34" s="22">
        <v>0.68572966942148705</v>
      </c>
    </row>
    <row r="35" spans="1:31">
      <c r="A35">
        <f t="shared" si="0"/>
        <v>31</v>
      </c>
      <c r="B35" s="8">
        <v>38200</v>
      </c>
      <c r="C35" s="7">
        <v>1104.24</v>
      </c>
      <c r="D35" s="7">
        <v>1105.5999999999999</v>
      </c>
      <c r="F35" s="5">
        <v>2.5</v>
      </c>
      <c r="G35" s="5">
        <v>6.47</v>
      </c>
      <c r="H35" s="5">
        <v>75.7</v>
      </c>
      <c r="J35" s="10">
        <v>2.5</v>
      </c>
      <c r="K35" s="10">
        <v>6.47</v>
      </c>
      <c r="L35" s="10">
        <v>75.7</v>
      </c>
      <c r="N35" s="12">
        <v>3</v>
      </c>
      <c r="O35" s="12">
        <v>1</v>
      </c>
      <c r="P35" s="14">
        <v>398.73599999999999</v>
      </c>
      <c r="V35" s="59">
        <v>6095</v>
      </c>
      <c r="W35" s="59">
        <v>2514</v>
      </c>
      <c r="X35" s="59">
        <v>373000</v>
      </c>
      <c r="Y35" s="59">
        <v>4</v>
      </c>
      <c r="Z35" s="59">
        <v>1</v>
      </c>
      <c r="AA35" s="36"/>
      <c r="AB35" s="22" t="s">
        <v>35</v>
      </c>
      <c r="AC35" s="24">
        <v>56.398044397977102</v>
      </c>
      <c r="AD35" s="26">
        <v>1.2265299999999999</v>
      </c>
      <c r="AE35" s="22">
        <v>0.68654884297520602</v>
      </c>
    </row>
    <row r="36" spans="1:31">
      <c r="A36">
        <f t="shared" si="0"/>
        <v>32</v>
      </c>
      <c r="B36" s="8">
        <v>38231</v>
      </c>
      <c r="C36" s="7">
        <v>1114.58</v>
      </c>
      <c r="D36" s="7">
        <v>1106</v>
      </c>
      <c r="F36" s="5">
        <v>3</v>
      </c>
      <c r="G36" s="5">
        <v>5.69</v>
      </c>
      <c r="H36" s="5">
        <v>78.8</v>
      </c>
      <c r="J36" s="10">
        <v>3</v>
      </c>
      <c r="K36" s="10">
        <v>5.69</v>
      </c>
      <c r="L36" s="10">
        <v>78.8</v>
      </c>
      <c r="N36" s="12">
        <v>4</v>
      </c>
      <c r="O36" s="12">
        <v>1</v>
      </c>
      <c r="P36" s="14">
        <v>422.76</v>
      </c>
      <c r="V36" s="59">
        <v>8566</v>
      </c>
      <c r="W36" s="59">
        <v>2754</v>
      </c>
      <c r="X36" s="59">
        <v>466275</v>
      </c>
      <c r="Y36" s="59">
        <v>5</v>
      </c>
      <c r="Z36" s="59">
        <v>1</v>
      </c>
      <c r="AA36" s="36"/>
      <c r="AB36" s="22" t="s">
        <v>36</v>
      </c>
      <c r="AC36" s="24">
        <v>51.924568476534297</v>
      </c>
      <c r="AD36" s="25">
        <v>1.2124462499999999</v>
      </c>
      <c r="AE36" s="22">
        <v>0.68410455578512297</v>
      </c>
    </row>
    <row r="37" spans="1:31">
      <c r="A37">
        <f t="shared" si="0"/>
        <v>33</v>
      </c>
      <c r="B37" s="8">
        <v>38261</v>
      </c>
      <c r="C37" s="7">
        <v>1130.2</v>
      </c>
      <c r="D37" s="7">
        <v>1132</v>
      </c>
      <c r="F37" s="5">
        <v>1</v>
      </c>
      <c r="G37" s="5">
        <v>5.56</v>
      </c>
      <c r="H37" s="5">
        <v>73.7</v>
      </c>
      <c r="J37" s="10">
        <v>1</v>
      </c>
      <c r="K37" s="10">
        <v>5.56</v>
      </c>
      <c r="L37" s="10">
        <v>73.7</v>
      </c>
      <c r="N37" s="12">
        <v>3</v>
      </c>
      <c r="O37" s="12">
        <v>1</v>
      </c>
      <c r="P37" s="14">
        <v>398.19</v>
      </c>
      <c r="V37" s="59">
        <v>9000</v>
      </c>
      <c r="W37" s="59">
        <v>2067</v>
      </c>
      <c r="X37" s="59">
        <v>332500</v>
      </c>
      <c r="Y37" s="59">
        <v>3</v>
      </c>
      <c r="Z37" s="59">
        <v>1</v>
      </c>
      <c r="AA37" s="36"/>
      <c r="AB37" s="22" t="s">
        <v>37</v>
      </c>
      <c r="AC37" s="24">
        <v>55.2782223830311</v>
      </c>
      <c r="AD37" s="25">
        <v>1.20741375</v>
      </c>
      <c r="AE37" s="22">
        <v>0.68323114669421503</v>
      </c>
    </row>
    <row r="38" spans="1:31">
      <c r="A38">
        <f t="shared" si="0"/>
        <v>34</v>
      </c>
      <c r="B38" s="8">
        <v>38292</v>
      </c>
      <c r="C38" s="7">
        <v>1173.82</v>
      </c>
      <c r="D38" s="7">
        <v>1130.5</v>
      </c>
      <c r="F38" s="5">
        <v>3.1</v>
      </c>
      <c r="G38" s="5">
        <v>6.41</v>
      </c>
      <c r="H38" s="5">
        <v>80.2</v>
      </c>
      <c r="J38" s="10">
        <v>3.1</v>
      </c>
      <c r="K38" s="10">
        <v>6.41</v>
      </c>
      <c r="L38" s="10">
        <v>80.2</v>
      </c>
      <c r="N38" s="12">
        <v>22</v>
      </c>
      <c r="O38" s="12">
        <v>1</v>
      </c>
      <c r="P38" s="14">
        <v>703.56</v>
      </c>
      <c r="Q38" s="2"/>
      <c r="R38" s="2"/>
      <c r="S38" s="2"/>
      <c r="T38" s="2"/>
      <c r="U38" s="2"/>
      <c r="V38" s="59">
        <v>6210</v>
      </c>
      <c r="W38" s="59">
        <v>1731</v>
      </c>
      <c r="X38" s="59">
        <v>315000</v>
      </c>
      <c r="Y38" s="59">
        <v>3</v>
      </c>
      <c r="Z38" s="59">
        <v>1</v>
      </c>
      <c r="AA38" s="36"/>
      <c r="AB38" s="22" t="s">
        <v>38</v>
      </c>
      <c r="AC38" s="24">
        <v>57.959206316692402</v>
      </c>
      <c r="AD38" s="25">
        <v>1.2187779999999999</v>
      </c>
      <c r="AE38" s="22">
        <v>0.68520345454545395</v>
      </c>
    </row>
    <row r="39" spans="1:31">
      <c r="A39">
        <f t="shared" si="0"/>
        <v>35</v>
      </c>
      <c r="B39" s="8">
        <v>38322</v>
      </c>
      <c r="C39" s="7">
        <v>1211.92</v>
      </c>
      <c r="D39" s="7">
        <v>1191.5</v>
      </c>
      <c r="F39" s="5">
        <v>0.5</v>
      </c>
      <c r="G39" s="5">
        <v>5.54</v>
      </c>
      <c r="H39" s="5">
        <v>69.900000000000006</v>
      </c>
      <c r="J39" s="10">
        <v>0.5</v>
      </c>
      <c r="K39" s="10">
        <v>5.54</v>
      </c>
      <c r="L39" s="10">
        <v>69.900000000000006</v>
      </c>
      <c r="N39" s="12">
        <v>17</v>
      </c>
      <c r="O39" s="12">
        <v>1</v>
      </c>
      <c r="P39" s="14">
        <v>602.31600000000003</v>
      </c>
      <c r="Q39" s="2"/>
      <c r="R39" s="2"/>
      <c r="S39" s="2"/>
      <c r="T39" s="2"/>
      <c r="U39" s="2"/>
      <c r="V39" s="59">
        <v>6000</v>
      </c>
      <c r="W39" s="59">
        <v>2336</v>
      </c>
      <c r="X39" s="59">
        <v>285000</v>
      </c>
      <c r="Y39" s="59">
        <v>4</v>
      </c>
      <c r="Z39" s="59">
        <v>1</v>
      </c>
      <c r="AA39" s="36"/>
      <c r="AB39" s="22" t="s">
        <v>39</v>
      </c>
      <c r="AC39" s="24">
        <v>63.071445996009103</v>
      </c>
      <c r="AD39" s="25">
        <v>1.2602487499999999</v>
      </c>
      <c r="AE39" s="22">
        <v>0.69240085743801605</v>
      </c>
    </row>
    <row r="40" spans="1:31">
      <c r="A40">
        <f t="shared" si="0"/>
        <v>36</v>
      </c>
      <c r="B40" s="8">
        <v>38353</v>
      </c>
      <c r="C40" s="7">
        <v>1181.27</v>
      </c>
      <c r="D40" s="7">
        <v>1211.3</v>
      </c>
      <c r="F40" s="5">
        <v>2.7</v>
      </c>
      <c r="G40" s="5">
        <v>6.47</v>
      </c>
      <c r="H40" s="5">
        <v>69.099999999999994</v>
      </c>
      <c r="J40" s="10">
        <v>2.7</v>
      </c>
      <c r="K40" s="10">
        <v>6.47</v>
      </c>
      <c r="L40" s="10">
        <v>69.099999999999994</v>
      </c>
      <c r="N40" s="12">
        <v>11</v>
      </c>
      <c r="O40" s="12">
        <v>1</v>
      </c>
      <c r="P40" s="14">
        <v>502.55399999999997</v>
      </c>
      <c r="Q40" s="2"/>
      <c r="R40" s="2"/>
      <c r="S40" s="2"/>
      <c r="T40" s="2"/>
      <c r="U40" s="2"/>
      <c r="V40" s="59">
        <v>7047</v>
      </c>
      <c r="W40" s="59">
        <v>2634</v>
      </c>
      <c r="X40" s="59">
        <v>300000</v>
      </c>
      <c r="Y40" s="59">
        <v>5</v>
      </c>
      <c r="Z40" s="59">
        <v>1</v>
      </c>
      <c r="AA40" s="36"/>
      <c r="AB40" s="22" t="s">
        <v>40</v>
      </c>
      <c r="AC40" s="24">
        <v>62.456477365608201</v>
      </c>
      <c r="AD40" s="26">
        <v>1.2879516666666599</v>
      </c>
      <c r="AE40" s="22">
        <v>0.69720880165289201</v>
      </c>
    </row>
    <row r="41" spans="1:31">
      <c r="A41">
        <f t="shared" si="0"/>
        <v>37</v>
      </c>
      <c r="B41" s="8">
        <v>38384</v>
      </c>
      <c r="C41" s="7">
        <v>1203.5999999999999</v>
      </c>
      <c r="D41" s="7">
        <v>1189</v>
      </c>
      <c r="F41" s="5">
        <v>0.9</v>
      </c>
      <c r="G41" s="5">
        <v>4.9400000000000004</v>
      </c>
      <c r="H41" s="5">
        <v>83.8</v>
      </c>
      <c r="J41" s="10">
        <v>0.9</v>
      </c>
      <c r="K41" s="10">
        <v>4.9400000000000004</v>
      </c>
      <c r="L41" s="10">
        <v>83.8</v>
      </c>
      <c r="N41" s="12">
        <v>15</v>
      </c>
      <c r="O41" s="12">
        <v>1</v>
      </c>
      <c r="P41" s="14">
        <v>608.16600000000005</v>
      </c>
      <c r="Q41" s="2"/>
      <c r="R41" s="2"/>
      <c r="S41" s="2"/>
      <c r="T41" s="2"/>
      <c r="U41" s="2"/>
      <c r="V41" s="59">
        <v>12237</v>
      </c>
      <c r="W41" s="59">
        <v>3375</v>
      </c>
      <c r="X41" s="59">
        <v>405000</v>
      </c>
      <c r="Y41" s="59">
        <v>3</v>
      </c>
      <c r="Z41" s="59">
        <v>1</v>
      </c>
      <c r="AA41" s="36"/>
      <c r="AB41" s="22" t="s">
        <v>41</v>
      </c>
      <c r="AC41" s="24">
        <v>62.49</v>
      </c>
      <c r="AD41" s="25">
        <v>1.29184875</v>
      </c>
      <c r="AE41" s="22">
        <v>0.69788515495867698</v>
      </c>
    </row>
    <row r="42" spans="1:31">
      <c r="A42">
        <f t="shared" si="0"/>
        <v>38</v>
      </c>
      <c r="B42" s="8">
        <v>38412</v>
      </c>
      <c r="C42" s="7">
        <v>1180.5899999999999</v>
      </c>
      <c r="D42" s="7">
        <v>1211.2</v>
      </c>
      <c r="F42" s="5">
        <v>1.5</v>
      </c>
      <c r="G42" s="5">
        <v>6.16</v>
      </c>
      <c r="H42" s="5">
        <v>84.3</v>
      </c>
      <c r="J42" s="10">
        <v>1.5</v>
      </c>
      <c r="K42" s="10">
        <v>6.16</v>
      </c>
      <c r="L42" s="10">
        <v>84.3</v>
      </c>
      <c r="N42" s="12">
        <v>6</v>
      </c>
      <c r="O42" s="12">
        <v>1</v>
      </c>
      <c r="P42" s="14">
        <v>410.59199999999998</v>
      </c>
      <c r="V42" s="59">
        <v>6519</v>
      </c>
      <c r="W42" s="59">
        <v>2312</v>
      </c>
      <c r="X42" s="59">
        <v>265000</v>
      </c>
      <c r="Y42" s="59">
        <v>3</v>
      </c>
      <c r="Z42" s="59">
        <v>1</v>
      </c>
      <c r="AA42" s="36"/>
      <c r="AB42" s="22" t="s">
        <v>42</v>
      </c>
      <c r="AC42" s="24">
        <v>64.45</v>
      </c>
      <c r="AD42" s="25">
        <v>1.2715562499999999</v>
      </c>
      <c r="AE42" s="22">
        <v>0.69436331611570201</v>
      </c>
    </row>
    <row r="43" spans="1:31">
      <c r="A43">
        <f t="shared" si="0"/>
        <v>39</v>
      </c>
      <c r="B43" s="8">
        <v>38443</v>
      </c>
      <c r="C43" s="7">
        <v>1156.8499999999999</v>
      </c>
      <c r="D43" s="7">
        <v>1173.5</v>
      </c>
      <c r="F43" s="5">
        <v>2.8</v>
      </c>
      <c r="G43" s="5">
        <v>5.93</v>
      </c>
      <c r="H43" s="5">
        <v>66</v>
      </c>
      <c r="J43" s="10">
        <v>2.8</v>
      </c>
      <c r="K43" s="10">
        <v>5.93</v>
      </c>
      <c r="L43" s="10">
        <v>66</v>
      </c>
      <c r="N43" s="12">
        <v>10</v>
      </c>
      <c r="O43" s="12">
        <v>1</v>
      </c>
      <c r="P43" s="14">
        <v>577.59</v>
      </c>
      <c r="Q43" s="2"/>
      <c r="R43" s="2"/>
      <c r="S43" s="2"/>
      <c r="T43" s="2"/>
      <c r="U43" s="2"/>
      <c r="V43" s="59">
        <v>3597</v>
      </c>
      <c r="W43" s="59">
        <v>1760</v>
      </c>
      <c r="X43" s="59">
        <v>227400</v>
      </c>
      <c r="Y43" s="59">
        <v>4</v>
      </c>
      <c r="Z43" s="59">
        <v>1</v>
      </c>
      <c r="AA43" s="36"/>
      <c r="AB43" s="22" t="s">
        <v>43</v>
      </c>
      <c r="AC43" s="24">
        <v>66.781035206800894</v>
      </c>
      <c r="AD43" s="25">
        <v>1.3174325</v>
      </c>
      <c r="AE43" s="22">
        <v>0.70232530991735498</v>
      </c>
    </row>
    <row r="44" spans="1:31">
      <c r="A44">
        <f t="shared" si="0"/>
        <v>40</v>
      </c>
      <c r="B44" s="8">
        <v>38473</v>
      </c>
      <c r="C44" s="7">
        <v>1191.5</v>
      </c>
      <c r="D44" s="7">
        <v>1162.7</v>
      </c>
      <c r="F44" s="5">
        <v>2.2999999999999998</v>
      </c>
      <c r="G44" s="5">
        <v>5.2</v>
      </c>
      <c r="H44" s="5">
        <v>84.3</v>
      </c>
      <c r="J44" s="10">
        <v>2.2999999999999998</v>
      </c>
      <c r="K44" s="10">
        <v>5.2</v>
      </c>
      <c r="L44" s="10">
        <v>84.3</v>
      </c>
      <c r="N44" s="12">
        <v>13</v>
      </c>
      <c r="O44" s="12">
        <v>1</v>
      </c>
      <c r="P44" s="14">
        <v>620.95799999999997</v>
      </c>
      <c r="Q44" s="2"/>
      <c r="R44" s="2"/>
      <c r="S44" s="2"/>
      <c r="T44" s="2"/>
      <c r="U44" s="2"/>
      <c r="V44" s="59">
        <v>7123</v>
      </c>
      <c r="W44" s="59">
        <v>1774</v>
      </c>
      <c r="X44" s="59">
        <v>285000</v>
      </c>
      <c r="Y44" s="59">
        <v>3</v>
      </c>
      <c r="Z44" s="59">
        <v>1</v>
      </c>
      <c r="AA44" s="36"/>
      <c r="AB44" s="22" t="s">
        <v>44</v>
      </c>
      <c r="AC44" s="24">
        <v>69.0628825227314</v>
      </c>
      <c r="AD44" s="27">
        <v>1.3332575</v>
      </c>
      <c r="AE44" s="22">
        <v>0.70507179752066096</v>
      </c>
    </row>
    <row r="45" spans="1:31">
      <c r="A45">
        <f t="shared" si="0"/>
        <v>41</v>
      </c>
      <c r="B45" s="8">
        <v>38504</v>
      </c>
      <c r="C45" s="7">
        <v>1191.33</v>
      </c>
      <c r="D45" s="7">
        <v>1201.2</v>
      </c>
      <c r="F45" s="5">
        <v>1.2</v>
      </c>
      <c r="G45" s="5">
        <v>5.62</v>
      </c>
      <c r="H45" s="5">
        <v>79.5</v>
      </c>
      <c r="J45" s="10">
        <v>1.2</v>
      </c>
      <c r="K45" s="10">
        <v>5.62</v>
      </c>
      <c r="L45" s="10">
        <v>79.5</v>
      </c>
      <c r="N45" s="12">
        <v>9</v>
      </c>
      <c r="O45" s="12">
        <v>1</v>
      </c>
      <c r="P45" s="14">
        <v>530.63400000000001</v>
      </c>
      <c r="Q45" s="2"/>
      <c r="R45" s="2"/>
      <c r="S45" s="2"/>
      <c r="T45" s="2"/>
      <c r="U45" s="2"/>
      <c r="V45" s="59">
        <v>5642</v>
      </c>
      <c r="W45" s="59">
        <v>1376</v>
      </c>
      <c r="X45" s="59">
        <v>268000</v>
      </c>
      <c r="Y45" s="59">
        <v>3</v>
      </c>
      <c r="Z45" s="59">
        <v>1</v>
      </c>
      <c r="AA45" s="36"/>
    </row>
    <row r="46" spans="1:31">
      <c r="A46">
        <f t="shared" si="0"/>
        <v>42</v>
      </c>
      <c r="B46" s="8">
        <v>38534</v>
      </c>
      <c r="C46" s="7">
        <v>1234.18</v>
      </c>
      <c r="D46" s="7">
        <v>1199.5</v>
      </c>
      <c r="F46" s="5">
        <v>3.1</v>
      </c>
      <c r="G46" s="5">
        <v>5.28</v>
      </c>
      <c r="H46" s="5">
        <v>80.2</v>
      </c>
      <c r="J46" s="10">
        <v>3.1</v>
      </c>
      <c r="K46" s="10">
        <v>5.28</v>
      </c>
      <c r="L46" s="10">
        <v>80.2</v>
      </c>
      <c r="N46" s="12">
        <v>24</v>
      </c>
      <c r="O46" s="12">
        <v>1</v>
      </c>
      <c r="P46" s="14">
        <v>671.346</v>
      </c>
      <c r="Q46" s="2"/>
      <c r="R46" s="2"/>
      <c r="S46" s="2"/>
      <c r="T46" s="2"/>
      <c r="U46" s="2"/>
      <c r="V46" s="59">
        <v>8602</v>
      </c>
      <c r="W46" s="59">
        <v>1835</v>
      </c>
      <c r="X46" s="59">
        <v>310000</v>
      </c>
      <c r="Y46" s="59">
        <v>4</v>
      </c>
      <c r="Z46" s="59">
        <v>1</v>
      </c>
      <c r="AA46" s="36"/>
    </row>
    <row r="47" spans="1:31">
      <c r="A47">
        <f t="shared" si="0"/>
        <v>43</v>
      </c>
      <c r="B47" s="8">
        <v>38565</v>
      </c>
      <c r="C47" s="7">
        <v>1220.33</v>
      </c>
      <c r="D47" s="7">
        <v>1237.2</v>
      </c>
      <c r="F47" s="5">
        <v>1</v>
      </c>
      <c r="G47" s="5">
        <v>5.46</v>
      </c>
      <c r="H47" s="5">
        <v>67.599999999999994</v>
      </c>
      <c r="J47" s="10">
        <v>1</v>
      </c>
      <c r="K47" s="10">
        <v>5.46</v>
      </c>
      <c r="L47" s="10">
        <v>67.599999999999994</v>
      </c>
      <c r="N47" s="12">
        <v>21</v>
      </c>
      <c r="O47" s="12">
        <v>1</v>
      </c>
      <c r="P47" s="14">
        <v>731.56200000000001</v>
      </c>
      <c r="Q47" s="2"/>
      <c r="R47" s="2"/>
      <c r="S47" s="2"/>
      <c r="T47" s="2"/>
      <c r="U47" s="2"/>
      <c r="V47" s="59">
        <v>5494</v>
      </c>
      <c r="W47" s="59">
        <v>2048</v>
      </c>
      <c r="X47" s="59">
        <v>266000</v>
      </c>
      <c r="Y47" s="59">
        <v>3</v>
      </c>
      <c r="Z47" s="59">
        <v>1</v>
      </c>
      <c r="AA47" s="36"/>
    </row>
    <row r="48" spans="1:31">
      <c r="A48">
        <f t="shared" si="0"/>
        <v>44</v>
      </c>
      <c r="B48" s="8">
        <v>38596</v>
      </c>
      <c r="C48" s="7">
        <v>1228.81</v>
      </c>
      <c r="D48" s="7">
        <v>1222.8</v>
      </c>
      <c r="F48" s="5">
        <v>2.5</v>
      </c>
      <c r="G48" s="5">
        <v>5.1100000000000003</v>
      </c>
      <c r="H48" s="5">
        <v>86.5</v>
      </c>
      <c r="J48" s="10">
        <v>2.5</v>
      </c>
      <c r="K48" s="10">
        <v>5.1100000000000003</v>
      </c>
      <c r="L48" s="10">
        <v>86.5</v>
      </c>
      <c r="N48" s="12">
        <v>5</v>
      </c>
      <c r="O48" s="12">
        <v>1</v>
      </c>
      <c r="P48" s="14">
        <v>521.03999999999905</v>
      </c>
      <c r="Q48" s="2"/>
      <c r="R48" s="2"/>
      <c r="S48" s="2"/>
      <c r="T48" s="2"/>
      <c r="U48" s="2"/>
      <c r="V48" s="59">
        <v>7800</v>
      </c>
      <c r="W48" s="59">
        <v>2124</v>
      </c>
      <c r="X48" s="59">
        <v>270000</v>
      </c>
      <c r="Y48" s="59">
        <v>3</v>
      </c>
      <c r="Z48" s="59">
        <v>1</v>
      </c>
      <c r="AA48" s="36"/>
    </row>
    <row r="49" spans="1:27">
      <c r="A49">
        <f t="shared" si="0"/>
        <v>45</v>
      </c>
      <c r="B49" s="8">
        <v>38626</v>
      </c>
      <c r="C49" s="7">
        <v>1207.01</v>
      </c>
      <c r="D49" s="7">
        <v>1235.5</v>
      </c>
      <c r="F49" s="5">
        <v>2.1</v>
      </c>
      <c r="G49" s="5">
        <v>5.04</v>
      </c>
      <c r="H49" s="5">
        <v>87.6</v>
      </c>
      <c r="J49" s="10">
        <v>2.1</v>
      </c>
      <c r="K49" s="10">
        <v>5.04</v>
      </c>
      <c r="L49" s="10">
        <v>87.6</v>
      </c>
      <c r="N49" s="12">
        <v>10</v>
      </c>
      <c r="O49" s="12">
        <v>1</v>
      </c>
      <c r="P49" s="14">
        <v>558.09</v>
      </c>
      <c r="Q49" s="2"/>
      <c r="R49" s="2"/>
      <c r="S49" s="2"/>
      <c r="T49" s="2"/>
      <c r="U49" s="2"/>
      <c r="V49" s="59">
        <v>9425</v>
      </c>
      <c r="W49" s="59">
        <v>1440</v>
      </c>
      <c r="X49" s="59">
        <v>247000</v>
      </c>
      <c r="Y49" s="59">
        <v>3</v>
      </c>
      <c r="Z49" s="59">
        <v>1</v>
      </c>
      <c r="AA49" s="36"/>
    </row>
    <row r="50" spans="1:27">
      <c r="A50">
        <f t="shared" si="0"/>
        <v>46</v>
      </c>
      <c r="B50" s="8">
        <v>38657</v>
      </c>
      <c r="C50" s="7">
        <v>1249.48</v>
      </c>
      <c r="D50" s="7">
        <v>1205</v>
      </c>
      <c r="F50" s="5">
        <v>2.8</v>
      </c>
      <c r="G50" s="5">
        <v>5.08</v>
      </c>
      <c r="H50" s="5">
        <v>84.2</v>
      </c>
      <c r="J50" s="10">
        <v>2.8</v>
      </c>
      <c r="K50" s="10">
        <v>5.08</v>
      </c>
      <c r="L50" s="10">
        <v>84.2</v>
      </c>
      <c r="N50" s="12">
        <v>6</v>
      </c>
      <c r="O50" s="12">
        <v>1</v>
      </c>
      <c r="P50" s="14">
        <v>449.98200000000003</v>
      </c>
      <c r="V50" s="59">
        <v>8577</v>
      </c>
      <c r="W50" s="59">
        <v>2106</v>
      </c>
      <c r="X50" s="59">
        <v>343000</v>
      </c>
      <c r="Y50" s="59">
        <v>3</v>
      </c>
      <c r="Z50" s="59">
        <v>1</v>
      </c>
      <c r="AA50" s="36"/>
    </row>
    <row r="51" spans="1:27">
      <c r="A51">
        <f t="shared" si="0"/>
        <v>47</v>
      </c>
      <c r="B51" s="8">
        <v>38687</v>
      </c>
      <c r="C51" s="7">
        <v>1248.29</v>
      </c>
      <c r="D51" s="7">
        <v>1266.7</v>
      </c>
      <c r="F51" s="5">
        <v>3.1</v>
      </c>
      <c r="G51" s="5">
        <v>5.86</v>
      </c>
      <c r="H51" s="5">
        <v>75.2</v>
      </c>
      <c r="J51" s="10">
        <v>3.1</v>
      </c>
      <c r="K51" s="10">
        <v>5.86</v>
      </c>
      <c r="L51" s="10">
        <v>75.2</v>
      </c>
      <c r="N51" s="12">
        <v>7</v>
      </c>
      <c r="O51" s="12">
        <v>1</v>
      </c>
      <c r="P51" s="14">
        <v>525.72</v>
      </c>
      <c r="Q51" s="2"/>
      <c r="R51" s="2"/>
      <c r="S51" s="2"/>
      <c r="T51" s="2"/>
      <c r="U51" s="2"/>
      <c r="V51" s="59">
        <v>8400</v>
      </c>
      <c r="W51" s="59">
        <v>3529</v>
      </c>
      <c r="X51" s="59">
        <v>477500</v>
      </c>
      <c r="Y51" s="59">
        <v>7</v>
      </c>
      <c r="Z51" s="59">
        <v>1</v>
      </c>
      <c r="AA51" s="36"/>
    </row>
    <row r="52" spans="1:27">
      <c r="A52">
        <f t="shared" si="0"/>
        <v>48</v>
      </c>
      <c r="B52" s="8">
        <v>38718</v>
      </c>
      <c r="C52" s="7">
        <v>1280.08</v>
      </c>
      <c r="D52" s="7">
        <v>1275.5</v>
      </c>
      <c r="F52" s="5">
        <v>3.1</v>
      </c>
      <c r="G52" s="5">
        <v>4.8899999999999997</v>
      </c>
      <c r="H52" s="5">
        <v>84.7</v>
      </c>
      <c r="J52" s="10">
        <v>3.1</v>
      </c>
      <c r="K52" s="10">
        <v>4.8899999999999997</v>
      </c>
      <c r="L52" s="10">
        <v>84.7</v>
      </c>
      <c r="N52" s="12">
        <v>15</v>
      </c>
      <c r="O52" s="12">
        <v>1</v>
      </c>
      <c r="P52" s="14">
        <v>671.11199999999997</v>
      </c>
      <c r="Q52" s="2"/>
      <c r="R52" s="2"/>
      <c r="S52" s="2"/>
      <c r="T52" s="2"/>
      <c r="U52" s="2"/>
      <c r="V52" s="59">
        <v>9773</v>
      </c>
      <c r="W52" s="59">
        <v>2051</v>
      </c>
      <c r="X52" s="59">
        <v>350000</v>
      </c>
      <c r="Y52" s="59">
        <v>4</v>
      </c>
      <c r="Z52" s="59">
        <v>1</v>
      </c>
      <c r="AA52" s="36"/>
    </row>
    <row r="53" spans="1:27">
      <c r="A53">
        <f t="shared" si="0"/>
        <v>49</v>
      </c>
      <c r="B53" s="8">
        <v>38749</v>
      </c>
      <c r="C53" s="7">
        <v>1280.6600000000001</v>
      </c>
      <c r="D53" s="7">
        <v>1285.5</v>
      </c>
      <c r="F53" s="5">
        <v>0.9</v>
      </c>
      <c r="G53" s="5">
        <v>5.68</v>
      </c>
      <c r="H53" s="5">
        <v>73.7</v>
      </c>
      <c r="J53" s="10">
        <v>0.9</v>
      </c>
      <c r="K53" s="10">
        <v>5.68</v>
      </c>
      <c r="L53" s="10">
        <v>73.7</v>
      </c>
      <c r="N53" s="12">
        <v>3</v>
      </c>
      <c r="O53" s="12">
        <v>1</v>
      </c>
      <c r="P53" s="14">
        <v>427.90800000000002</v>
      </c>
      <c r="Q53" s="2"/>
      <c r="R53" s="2"/>
      <c r="S53" s="2"/>
      <c r="T53" s="2"/>
      <c r="U53" s="2"/>
      <c r="V53" s="59">
        <v>4806</v>
      </c>
      <c r="W53" s="59">
        <v>1573</v>
      </c>
      <c r="X53" s="59">
        <v>230000</v>
      </c>
      <c r="Y53" s="59">
        <v>4</v>
      </c>
      <c r="Z53" s="59">
        <v>1</v>
      </c>
      <c r="AA53" s="36"/>
    </row>
    <row r="54" spans="1:27">
      <c r="A54">
        <f t="shared" si="0"/>
        <v>50</v>
      </c>
      <c r="B54" s="8">
        <v>38777</v>
      </c>
      <c r="C54" s="7">
        <v>1294.8699999999999</v>
      </c>
      <c r="D54" s="7">
        <v>1292.5</v>
      </c>
      <c r="F54" s="5">
        <v>1.8</v>
      </c>
      <c r="G54" s="5">
        <v>5.83</v>
      </c>
      <c r="H54" s="5">
        <v>81.2</v>
      </c>
      <c r="J54" s="10">
        <v>1.8</v>
      </c>
      <c r="K54" s="10">
        <v>5.83</v>
      </c>
      <c r="L54" s="10">
        <v>81.2</v>
      </c>
      <c r="N54" s="12">
        <v>14</v>
      </c>
      <c r="O54" s="12">
        <v>1</v>
      </c>
      <c r="P54" s="14">
        <v>592.33199999999999</v>
      </c>
      <c r="V54" s="59">
        <v>5763</v>
      </c>
      <c r="W54" s="59">
        <v>1630</v>
      </c>
      <c r="X54" s="59">
        <v>251000</v>
      </c>
      <c r="Y54" s="59">
        <v>3</v>
      </c>
      <c r="Z54" s="59">
        <v>1</v>
      </c>
      <c r="AA54" s="36"/>
    </row>
    <row r="55" spans="1:27">
      <c r="A55">
        <f t="shared" si="0"/>
        <v>51</v>
      </c>
      <c r="B55" s="8">
        <v>38808</v>
      </c>
      <c r="C55" s="7">
        <v>1310.6099999999999</v>
      </c>
      <c r="D55" s="7">
        <v>1307.5</v>
      </c>
      <c r="F55" s="5">
        <v>3.1</v>
      </c>
      <c r="G55" s="5">
        <v>6.33</v>
      </c>
      <c r="H55" s="5">
        <v>69</v>
      </c>
      <c r="J55" s="10">
        <v>3.1</v>
      </c>
      <c r="K55" s="10">
        <v>6.33</v>
      </c>
      <c r="L55" s="10">
        <v>69</v>
      </c>
      <c r="N55" s="12">
        <v>15</v>
      </c>
      <c r="O55" s="12">
        <v>0</v>
      </c>
      <c r="P55" s="14">
        <v>349.38</v>
      </c>
      <c r="Q55" s="2"/>
      <c r="R55" s="2"/>
      <c r="S55" s="2"/>
      <c r="T55" s="2"/>
      <c r="U55" s="2"/>
      <c r="V55" s="59">
        <v>6383</v>
      </c>
      <c r="W55" s="59">
        <v>1840</v>
      </c>
      <c r="X55" s="59">
        <v>235000</v>
      </c>
      <c r="Y55" s="59">
        <v>4</v>
      </c>
      <c r="Z55" s="59">
        <v>1</v>
      </c>
      <c r="AA55" s="36"/>
    </row>
    <row r="56" spans="1:27">
      <c r="A56">
        <f t="shared" si="0"/>
        <v>52</v>
      </c>
      <c r="B56" s="8">
        <v>38838</v>
      </c>
      <c r="C56" s="7">
        <v>1270.0899999999999</v>
      </c>
      <c r="D56" s="7">
        <v>1318.4</v>
      </c>
      <c r="F56" s="5">
        <v>1.9</v>
      </c>
      <c r="G56" s="5">
        <v>6.47</v>
      </c>
      <c r="H56" s="5">
        <v>69.7</v>
      </c>
      <c r="J56" s="10">
        <v>1.9</v>
      </c>
      <c r="K56" s="10">
        <v>6.47</v>
      </c>
      <c r="L56" s="10">
        <v>69.7</v>
      </c>
      <c r="N56" s="12">
        <v>1</v>
      </c>
      <c r="O56" s="12">
        <v>0</v>
      </c>
      <c r="P56" s="14">
        <v>218.05199999999999</v>
      </c>
      <c r="Q56" s="2"/>
      <c r="R56" s="2"/>
      <c r="S56" s="2"/>
      <c r="T56" s="2"/>
      <c r="U56" s="2"/>
      <c r="V56" s="59">
        <v>9000</v>
      </c>
      <c r="W56" s="59">
        <v>2066</v>
      </c>
      <c r="X56" s="59">
        <v>361000</v>
      </c>
      <c r="Y56" s="59">
        <v>4</v>
      </c>
      <c r="Z56" s="59">
        <v>1</v>
      </c>
      <c r="AA56" s="36"/>
    </row>
    <row r="57" spans="1:27">
      <c r="A57">
        <f t="shared" si="0"/>
        <v>53</v>
      </c>
      <c r="B57" s="8">
        <v>38869</v>
      </c>
      <c r="C57" s="7">
        <v>1270.2</v>
      </c>
      <c r="D57" s="7">
        <v>1286.5</v>
      </c>
      <c r="F57" s="5">
        <v>0.7</v>
      </c>
      <c r="G57" s="5">
        <v>5.7</v>
      </c>
      <c r="H57" s="5">
        <v>78.099999999999994</v>
      </c>
      <c r="J57" s="10">
        <v>0.7</v>
      </c>
      <c r="K57" s="10">
        <v>5.7</v>
      </c>
      <c r="L57" s="10">
        <v>78.099999999999994</v>
      </c>
      <c r="N57" s="12">
        <v>12</v>
      </c>
      <c r="O57" s="12">
        <v>0</v>
      </c>
      <c r="P57" s="14">
        <v>387.39600000000002</v>
      </c>
      <c r="Q57" s="2"/>
      <c r="R57" s="2"/>
      <c r="S57" s="2"/>
      <c r="T57" s="2"/>
      <c r="U57" s="2"/>
      <c r="V57" s="59">
        <v>10892</v>
      </c>
      <c r="W57" s="59">
        <v>2750</v>
      </c>
      <c r="X57" s="59">
        <v>360000</v>
      </c>
      <c r="Y57" s="59">
        <v>4</v>
      </c>
      <c r="Z57" s="59">
        <v>1</v>
      </c>
      <c r="AA57" s="36"/>
    </row>
    <row r="58" spans="1:27">
      <c r="A58">
        <f t="shared" si="0"/>
        <v>54</v>
      </c>
      <c r="B58" s="8">
        <v>38899</v>
      </c>
      <c r="C58" s="7">
        <v>1276.6600000000001</v>
      </c>
      <c r="D58" s="7">
        <v>1282</v>
      </c>
      <c r="F58" s="5">
        <v>1.6</v>
      </c>
      <c r="G58" s="5">
        <v>5.22</v>
      </c>
      <c r="H58" s="5">
        <v>88</v>
      </c>
      <c r="J58" s="10">
        <v>1.6</v>
      </c>
      <c r="K58" s="10">
        <v>5.22</v>
      </c>
      <c r="L58" s="10">
        <v>88</v>
      </c>
      <c r="N58" s="12">
        <v>9</v>
      </c>
      <c r="O58" s="12">
        <v>0</v>
      </c>
      <c r="P58" s="14">
        <v>346.35599999999999</v>
      </c>
      <c r="Q58" s="2"/>
      <c r="R58" s="2"/>
      <c r="S58" s="2"/>
      <c r="T58" s="2"/>
      <c r="U58" s="2"/>
      <c r="V58" s="59">
        <v>15634</v>
      </c>
      <c r="W58" s="59">
        <v>3880</v>
      </c>
      <c r="X58" s="59">
        <v>575000</v>
      </c>
      <c r="Y58" s="59">
        <v>5</v>
      </c>
      <c r="Z58" s="59">
        <v>1</v>
      </c>
      <c r="AA58" s="36"/>
    </row>
    <row r="59" spans="1:27">
      <c r="A59">
        <f t="shared" si="0"/>
        <v>55</v>
      </c>
      <c r="B59" s="8">
        <v>38930</v>
      </c>
      <c r="C59" s="7">
        <v>1303.82</v>
      </c>
      <c r="D59" s="7">
        <v>1275.5</v>
      </c>
      <c r="F59" s="5">
        <v>2.9</v>
      </c>
      <c r="G59" s="5">
        <v>5.05</v>
      </c>
      <c r="H59" s="5">
        <v>80.400000000000006</v>
      </c>
      <c r="J59" s="10">
        <v>2.9</v>
      </c>
      <c r="K59" s="10">
        <v>5.05</v>
      </c>
      <c r="L59" s="10">
        <v>80.400000000000006</v>
      </c>
      <c r="N59" s="12">
        <v>5</v>
      </c>
      <c r="O59" s="12">
        <v>0</v>
      </c>
      <c r="P59" s="14">
        <v>256.01400000000001</v>
      </c>
      <c r="Q59" s="2"/>
      <c r="R59" s="2"/>
      <c r="S59" s="2"/>
      <c r="T59" s="2"/>
      <c r="U59" s="2"/>
      <c r="V59" s="59">
        <v>6400</v>
      </c>
      <c r="W59" s="59">
        <v>1854</v>
      </c>
      <c r="X59" s="59">
        <v>209001</v>
      </c>
      <c r="Y59" s="59">
        <v>4</v>
      </c>
      <c r="Z59" s="59">
        <v>1</v>
      </c>
      <c r="AA59" s="36"/>
    </row>
    <row r="60" spans="1:27">
      <c r="A60">
        <f t="shared" si="0"/>
        <v>56</v>
      </c>
      <c r="B60" s="8">
        <v>38961</v>
      </c>
      <c r="C60" s="7">
        <v>1335.85</v>
      </c>
      <c r="D60" s="7">
        <v>1312.8</v>
      </c>
      <c r="F60" s="5">
        <v>2.2999999999999998</v>
      </c>
      <c r="G60" s="5">
        <v>5.76</v>
      </c>
      <c r="H60" s="5">
        <v>79.7</v>
      </c>
      <c r="J60" s="10">
        <v>2.2999999999999998</v>
      </c>
      <c r="K60" s="10">
        <v>5.76</v>
      </c>
      <c r="L60" s="10">
        <v>79.7</v>
      </c>
      <c r="N60" s="12">
        <v>3</v>
      </c>
      <c r="O60" s="12">
        <v>0</v>
      </c>
      <c r="P60" s="14">
        <v>251.04599999999999</v>
      </c>
      <c r="Q60" s="2"/>
      <c r="R60" s="2"/>
      <c r="S60" s="2"/>
      <c r="T60" s="2"/>
      <c r="U60" s="2"/>
      <c r="V60" s="59">
        <v>6314</v>
      </c>
      <c r="W60" s="59">
        <v>1662</v>
      </c>
      <c r="X60" s="59">
        <v>246000</v>
      </c>
      <c r="Y60" s="59">
        <v>3</v>
      </c>
      <c r="Z60" s="59">
        <v>1</v>
      </c>
      <c r="AA60" s="36"/>
    </row>
    <row r="61" spans="1:27">
      <c r="A61">
        <f t="shared" si="0"/>
        <v>57</v>
      </c>
      <c r="B61" s="8">
        <v>38991</v>
      </c>
      <c r="C61" s="7">
        <v>1377.94</v>
      </c>
      <c r="D61" s="7">
        <v>1340.8</v>
      </c>
      <c r="F61" s="5">
        <v>1.7</v>
      </c>
      <c r="G61" s="5">
        <v>6.25</v>
      </c>
      <c r="H61" s="5">
        <v>73.2</v>
      </c>
      <c r="J61" s="10">
        <v>1.7</v>
      </c>
      <c r="K61" s="10">
        <v>6.25</v>
      </c>
      <c r="L61" s="10">
        <v>73.2</v>
      </c>
      <c r="N61" s="12">
        <v>7</v>
      </c>
      <c r="O61" s="12">
        <v>0</v>
      </c>
      <c r="P61" s="14">
        <v>273.34800000000001</v>
      </c>
      <c r="Q61" s="2"/>
      <c r="R61" s="2"/>
      <c r="S61" s="2"/>
      <c r="T61" s="2"/>
      <c r="U61" s="2"/>
      <c r="V61" s="59">
        <v>28231</v>
      </c>
      <c r="W61" s="59">
        <v>3331</v>
      </c>
      <c r="X61" s="59">
        <v>713500</v>
      </c>
      <c r="Y61" s="59">
        <v>5</v>
      </c>
      <c r="Z61" s="59">
        <v>1</v>
      </c>
      <c r="AA61" s="36"/>
    </row>
    <row r="62" spans="1:27">
      <c r="A62">
        <f t="shared" si="0"/>
        <v>58</v>
      </c>
      <c r="B62" s="8">
        <v>39022</v>
      </c>
      <c r="C62" s="7">
        <v>1400.63</v>
      </c>
      <c r="D62" s="7">
        <v>1373</v>
      </c>
      <c r="F62" s="5">
        <v>1.8</v>
      </c>
      <c r="G62" s="5">
        <v>5.34</v>
      </c>
      <c r="H62" s="5">
        <v>85.9</v>
      </c>
      <c r="J62" s="10">
        <v>1.8</v>
      </c>
      <c r="K62" s="10">
        <v>5.34</v>
      </c>
      <c r="L62" s="10">
        <v>85.9</v>
      </c>
      <c r="N62" s="12">
        <v>17</v>
      </c>
      <c r="O62" s="12">
        <v>0</v>
      </c>
      <c r="P62" s="14">
        <v>397.71</v>
      </c>
      <c r="Q62" s="2"/>
      <c r="R62" s="2"/>
      <c r="S62" s="2"/>
      <c r="T62" s="2"/>
      <c r="U62" s="2"/>
      <c r="V62" s="59">
        <v>7050</v>
      </c>
      <c r="W62" s="59">
        <v>1656</v>
      </c>
      <c r="X62" s="59">
        <v>248000</v>
      </c>
      <c r="Y62" s="59">
        <v>4</v>
      </c>
      <c r="Z62" s="59">
        <v>1</v>
      </c>
      <c r="AA62" s="36"/>
    </row>
    <row r="63" spans="1:27">
      <c r="A63">
        <f t="shared" si="0"/>
        <v>59</v>
      </c>
      <c r="B63" s="8">
        <v>39052</v>
      </c>
      <c r="C63" s="7">
        <v>1418.3</v>
      </c>
      <c r="D63" s="7">
        <v>1398.4</v>
      </c>
      <c r="F63" s="5">
        <v>0.6</v>
      </c>
      <c r="G63" s="5">
        <v>4.9800000000000004</v>
      </c>
      <c r="H63" s="5">
        <v>83.3</v>
      </c>
      <c r="J63" s="10">
        <v>0.6</v>
      </c>
      <c r="K63" s="10">
        <v>4.9800000000000004</v>
      </c>
      <c r="L63" s="10">
        <v>83.3</v>
      </c>
      <c r="N63" s="12">
        <v>19</v>
      </c>
      <c r="O63" s="12">
        <v>0</v>
      </c>
      <c r="P63" s="14">
        <v>392.202</v>
      </c>
      <c r="Q63" s="2"/>
      <c r="R63" s="2"/>
      <c r="S63" s="2"/>
      <c r="T63" s="2"/>
      <c r="U63" s="2"/>
      <c r="V63" s="59">
        <v>6637</v>
      </c>
      <c r="W63" s="59">
        <v>2293</v>
      </c>
      <c r="X63" s="59">
        <v>375000</v>
      </c>
      <c r="Y63" s="59">
        <v>5</v>
      </c>
      <c r="Z63" s="59">
        <v>1</v>
      </c>
      <c r="AA63" s="36"/>
    </row>
    <row r="64" spans="1:27">
      <c r="A64">
        <f t="shared" si="0"/>
        <v>60</v>
      </c>
      <c r="B64" s="8">
        <v>39083</v>
      </c>
      <c r="C64" s="7">
        <v>1438.24</v>
      </c>
      <c r="D64" s="7">
        <v>1437.6</v>
      </c>
      <c r="F64" s="5">
        <v>3.1</v>
      </c>
      <c r="G64" s="5">
        <v>6.39</v>
      </c>
      <c r="H64" s="5">
        <v>73.599999999999994</v>
      </c>
      <c r="J64" s="10">
        <v>3.1</v>
      </c>
      <c r="K64" s="10">
        <v>6.39</v>
      </c>
      <c r="L64" s="10">
        <v>73.599999999999994</v>
      </c>
      <c r="N64" s="12">
        <v>15</v>
      </c>
      <c r="O64" s="12">
        <v>0</v>
      </c>
      <c r="P64" s="14">
        <v>394.25400000000002</v>
      </c>
      <c r="Q64" s="2"/>
      <c r="R64" s="2"/>
      <c r="S64" s="2"/>
      <c r="T64" s="2"/>
      <c r="U64" s="2"/>
      <c r="V64" s="59">
        <v>7834</v>
      </c>
      <c r="W64" s="59">
        <v>1764</v>
      </c>
      <c r="X64" s="59">
        <v>265000</v>
      </c>
      <c r="Y64" s="59">
        <v>3</v>
      </c>
      <c r="Z64" s="59">
        <v>1</v>
      </c>
      <c r="AA64" s="36"/>
    </row>
    <row r="65" spans="1:27">
      <c r="A65">
        <f t="shared" si="0"/>
        <v>61</v>
      </c>
      <c r="B65" s="8">
        <v>39114</v>
      </c>
      <c r="C65" s="7">
        <v>1406.82</v>
      </c>
      <c r="D65" s="7">
        <v>1450.7</v>
      </c>
      <c r="F65" s="5">
        <v>1.2</v>
      </c>
      <c r="G65" s="5">
        <v>6.22</v>
      </c>
      <c r="H65" s="5">
        <v>79.2</v>
      </c>
      <c r="J65" s="10">
        <v>1.2</v>
      </c>
      <c r="K65" s="10">
        <v>6.22</v>
      </c>
      <c r="L65" s="10">
        <v>79.2</v>
      </c>
      <c r="N65" s="12">
        <v>6</v>
      </c>
      <c r="O65" s="12">
        <v>0</v>
      </c>
      <c r="P65" s="14">
        <v>285.17399999999998</v>
      </c>
      <c r="Q65" s="2"/>
      <c r="R65" s="2"/>
      <c r="S65" s="2"/>
      <c r="T65" s="2"/>
      <c r="U65" s="2"/>
      <c r="V65" s="59">
        <v>5850</v>
      </c>
      <c r="W65" s="59">
        <v>1536</v>
      </c>
      <c r="X65" s="59">
        <v>253000</v>
      </c>
      <c r="Y65" s="59">
        <v>3</v>
      </c>
      <c r="Z65" s="59">
        <v>1</v>
      </c>
      <c r="AA65" s="36"/>
    </row>
    <row r="66" spans="1:27">
      <c r="A66">
        <f t="shared" si="0"/>
        <v>62</v>
      </c>
      <c r="B66" s="8">
        <v>39142</v>
      </c>
      <c r="C66" s="7">
        <v>1420.86</v>
      </c>
      <c r="D66" s="7">
        <v>1404.9</v>
      </c>
      <c r="F66" s="5">
        <v>2.1</v>
      </c>
      <c r="G66" s="5">
        <v>5.0999999999999996</v>
      </c>
      <c r="H66" s="5">
        <v>88.1</v>
      </c>
      <c r="J66" s="10">
        <v>2.1</v>
      </c>
      <c r="K66" s="10">
        <v>5.0999999999999996</v>
      </c>
      <c r="L66" s="10">
        <v>88.1</v>
      </c>
      <c r="N66" s="12">
        <v>3</v>
      </c>
      <c r="O66" s="12">
        <v>0</v>
      </c>
      <c r="P66" s="14">
        <v>244.566</v>
      </c>
      <c r="Q66" s="2"/>
      <c r="R66" s="2"/>
      <c r="S66" s="2"/>
      <c r="T66" s="2"/>
      <c r="U66" s="2"/>
      <c r="V66" s="59">
        <v>6660</v>
      </c>
      <c r="W66" s="59">
        <v>1638</v>
      </c>
      <c r="X66" s="59">
        <v>315000</v>
      </c>
      <c r="Y66" s="59">
        <v>4</v>
      </c>
      <c r="Z66" s="59">
        <v>1</v>
      </c>
      <c r="AA66" s="36"/>
    </row>
    <row r="67" spans="1:27">
      <c r="A67">
        <f t="shared" si="0"/>
        <v>63</v>
      </c>
      <c r="B67" s="8">
        <v>39173</v>
      </c>
      <c r="C67" s="7">
        <v>1482.37</v>
      </c>
      <c r="D67" s="7">
        <v>1434.7</v>
      </c>
      <c r="F67" s="5">
        <v>0.5</v>
      </c>
      <c r="G67" s="5">
        <v>6.49</v>
      </c>
      <c r="H67" s="5">
        <v>64.5</v>
      </c>
      <c r="J67" s="10">
        <v>0.5</v>
      </c>
      <c r="K67" s="10">
        <v>6.49</v>
      </c>
      <c r="L67" s="10">
        <v>64.5</v>
      </c>
      <c r="N67" s="12">
        <v>17</v>
      </c>
      <c r="O67" s="12">
        <v>0</v>
      </c>
      <c r="P67" s="14">
        <v>387.61200000000002</v>
      </c>
      <c r="Q67" s="2"/>
      <c r="R67" s="2"/>
      <c r="S67" s="2"/>
      <c r="T67" s="2"/>
      <c r="U67" s="2"/>
      <c r="V67" s="59">
        <v>6637</v>
      </c>
      <c r="W67" s="59">
        <v>1972</v>
      </c>
      <c r="X67" s="59">
        <v>264000</v>
      </c>
      <c r="Y67" s="59">
        <v>3</v>
      </c>
      <c r="Z67" s="59">
        <v>1</v>
      </c>
      <c r="AA67" s="36"/>
    </row>
    <row r="68" spans="1:27">
      <c r="A68">
        <f t="shared" si="0"/>
        <v>64</v>
      </c>
      <c r="B68" s="8">
        <v>39203</v>
      </c>
      <c r="C68" s="7">
        <v>1530.62</v>
      </c>
      <c r="D68" s="7">
        <v>1501.7</v>
      </c>
      <c r="F68" s="5">
        <v>2.9</v>
      </c>
      <c r="G68" s="5">
        <v>4.8600000000000003</v>
      </c>
      <c r="H68" s="5">
        <v>84.1</v>
      </c>
      <c r="J68" s="10">
        <v>2.9</v>
      </c>
      <c r="K68" s="10">
        <v>4.8600000000000003</v>
      </c>
      <c r="L68" s="10">
        <v>84.1</v>
      </c>
      <c r="N68" s="12">
        <v>4</v>
      </c>
      <c r="O68" s="12">
        <v>0</v>
      </c>
      <c r="P68" s="14">
        <v>253.31399999999999</v>
      </c>
      <c r="Q68" s="2"/>
      <c r="R68" s="2"/>
      <c r="S68" s="2"/>
      <c r="T68" s="2"/>
      <c r="U68" s="2"/>
      <c r="V68" s="59">
        <v>5146</v>
      </c>
      <c r="W68" s="59">
        <v>1408</v>
      </c>
      <c r="X68" s="59">
        <v>210000</v>
      </c>
      <c r="Y68" s="59">
        <v>3</v>
      </c>
      <c r="Z68" s="59">
        <v>1</v>
      </c>
      <c r="AA68" s="36"/>
    </row>
    <row r="69" spans="1:27">
      <c r="A69">
        <f t="shared" si="0"/>
        <v>65</v>
      </c>
      <c r="B69" s="8">
        <v>39234</v>
      </c>
      <c r="C69" s="7">
        <v>1503.35</v>
      </c>
      <c r="D69" s="7">
        <v>1540.7</v>
      </c>
      <c r="F69" s="5">
        <v>1.6</v>
      </c>
      <c r="G69" s="5">
        <v>5.0999999999999996</v>
      </c>
      <c r="H69" s="5">
        <v>91.2</v>
      </c>
      <c r="J69" s="10">
        <v>1.6</v>
      </c>
      <c r="K69" s="10">
        <v>5.0999999999999996</v>
      </c>
      <c r="L69" s="10">
        <v>91.2</v>
      </c>
      <c r="N69" s="12">
        <v>10</v>
      </c>
      <c r="O69" s="12">
        <v>0</v>
      </c>
      <c r="P69" s="14">
        <v>333.61200000000002</v>
      </c>
      <c r="V69" s="59">
        <v>6017</v>
      </c>
      <c r="W69" s="59">
        <v>1812</v>
      </c>
      <c r="X69" s="59">
        <v>180000</v>
      </c>
      <c r="Y69" s="59">
        <v>3</v>
      </c>
      <c r="Z69" s="59">
        <v>1</v>
      </c>
      <c r="AA69" s="36"/>
    </row>
    <row r="70" spans="1:27">
      <c r="A70">
        <f t="shared" si="0"/>
        <v>66</v>
      </c>
      <c r="B70" s="8">
        <v>39264</v>
      </c>
      <c r="C70" s="7">
        <v>1455.27</v>
      </c>
      <c r="D70" s="7">
        <v>1531.5</v>
      </c>
      <c r="F70" s="5">
        <v>1.5</v>
      </c>
      <c r="G70" s="5">
        <v>5.98</v>
      </c>
      <c r="H70" s="5">
        <v>71.8</v>
      </c>
      <c r="J70" s="10">
        <v>1.5</v>
      </c>
      <c r="K70" s="10">
        <v>5.98</v>
      </c>
      <c r="L70" s="10">
        <v>71.8</v>
      </c>
      <c r="N70" s="12">
        <v>4</v>
      </c>
      <c r="O70" s="12">
        <v>0</v>
      </c>
      <c r="P70" s="14">
        <v>292.95</v>
      </c>
      <c r="Q70" s="2"/>
      <c r="R70" s="2"/>
      <c r="S70" s="2"/>
      <c r="T70" s="2"/>
      <c r="U70" s="2"/>
      <c r="V70" s="59">
        <v>8410</v>
      </c>
      <c r="W70" s="59">
        <v>1722</v>
      </c>
      <c r="X70" s="59">
        <v>250000</v>
      </c>
      <c r="Y70" s="59">
        <v>3</v>
      </c>
      <c r="Z70" s="59">
        <v>1</v>
      </c>
      <c r="AA70" s="36"/>
    </row>
    <row r="71" spans="1:27">
      <c r="F71" s="5">
        <v>2</v>
      </c>
      <c r="G71" s="5">
        <v>5.0199999999999996</v>
      </c>
      <c r="H71" s="5">
        <v>80.599999999999994</v>
      </c>
      <c r="J71" s="10">
        <v>2</v>
      </c>
      <c r="K71" s="10">
        <v>5.0199999999999996</v>
      </c>
      <c r="L71" s="10">
        <v>80.599999999999994</v>
      </c>
      <c r="N71" s="12">
        <v>11</v>
      </c>
      <c r="O71" s="12">
        <v>0</v>
      </c>
      <c r="P71" s="14">
        <v>374.92200000000003</v>
      </c>
      <c r="V71" s="59">
        <v>5625</v>
      </c>
      <c r="W71" s="59">
        <v>1780</v>
      </c>
      <c r="X71" s="59">
        <v>250000</v>
      </c>
      <c r="Y71" s="59">
        <v>4</v>
      </c>
      <c r="Z71" s="59">
        <v>1</v>
      </c>
      <c r="AA71" s="36"/>
    </row>
    <row r="72" spans="1:27">
      <c r="F72" s="5">
        <v>1.3</v>
      </c>
      <c r="G72" s="5">
        <v>5.08</v>
      </c>
      <c r="H72" s="5">
        <v>73.099999999999994</v>
      </c>
      <c r="J72" s="10">
        <v>1.3</v>
      </c>
      <c r="K72" s="10">
        <v>5.08</v>
      </c>
      <c r="L72" s="10">
        <v>73.099999999999994</v>
      </c>
      <c r="N72" s="12">
        <v>10</v>
      </c>
      <c r="O72" s="12">
        <v>0</v>
      </c>
      <c r="P72" s="14">
        <v>387.45</v>
      </c>
      <c r="V72" s="59">
        <v>5600</v>
      </c>
      <c r="W72" s="59">
        <v>1674</v>
      </c>
      <c r="X72" s="59">
        <v>209000</v>
      </c>
      <c r="Y72" s="59">
        <v>4</v>
      </c>
      <c r="Z72" s="59">
        <v>1</v>
      </c>
      <c r="AA72" s="36"/>
    </row>
    <row r="73" spans="1:27">
      <c r="F73" s="5">
        <v>1.1000000000000001</v>
      </c>
      <c r="G73" s="5">
        <v>5.23</v>
      </c>
      <c r="H73" s="5">
        <v>81</v>
      </c>
      <c r="J73" s="10">
        <v>1.1000000000000001</v>
      </c>
      <c r="K73" s="10">
        <v>5.23</v>
      </c>
      <c r="L73" s="10">
        <v>81</v>
      </c>
      <c r="N73" s="12">
        <v>7</v>
      </c>
      <c r="O73" s="12">
        <v>0</v>
      </c>
      <c r="P73" s="14">
        <v>307.52999999999997</v>
      </c>
      <c r="Q73" s="2"/>
      <c r="R73" s="2"/>
      <c r="S73" s="2"/>
      <c r="T73" s="2"/>
      <c r="U73" s="2"/>
      <c r="V73" s="59">
        <v>6525</v>
      </c>
      <c r="W73" s="59">
        <v>1850</v>
      </c>
      <c r="X73" s="59">
        <v>258000</v>
      </c>
      <c r="Y73" s="59">
        <v>4</v>
      </c>
      <c r="Z73" s="59">
        <v>1</v>
      </c>
      <c r="AA73" s="36"/>
    </row>
    <row r="74" spans="1:27">
      <c r="F74" s="5">
        <v>2.2000000000000002</v>
      </c>
      <c r="G74" s="5">
        <v>6.02</v>
      </c>
      <c r="H74" s="5">
        <v>73.7</v>
      </c>
      <c r="J74" s="10">
        <v>2.2000000000000002</v>
      </c>
      <c r="K74" s="10">
        <v>6.02</v>
      </c>
      <c r="L74" s="10">
        <v>73.7</v>
      </c>
      <c r="N74" s="12">
        <v>3</v>
      </c>
      <c r="O74" s="12">
        <v>0</v>
      </c>
      <c r="P74" s="14">
        <v>268.97399999999999</v>
      </c>
      <c r="Q74" s="2"/>
      <c r="R74" s="2"/>
      <c r="S74" s="2"/>
      <c r="T74" s="2"/>
      <c r="U74" s="2"/>
      <c r="V74" s="59">
        <v>6060</v>
      </c>
      <c r="W74" s="59">
        <v>1925</v>
      </c>
      <c r="X74" s="59">
        <v>289000</v>
      </c>
      <c r="Y74" s="59">
        <v>3</v>
      </c>
      <c r="Z74" s="59">
        <v>1</v>
      </c>
      <c r="AA74" s="36"/>
    </row>
    <row r="75" spans="1:27">
      <c r="F75" s="5">
        <v>1.7</v>
      </c>
      <c r="G75" s="5">
        <v>5.73</v>
      </c>
      <c r="H75" s="5">
        <v>82.2</v>
      </c>
      <c r="J75" s="10">
        <v>1.7</v>
      </c>
      <c r="K75" s="10">
        <v>5.73</v>
      </c>
      <c r="L75" s="10">
        <v>82.2</v>
      </c>
      <c r="N75" s="12">
        <v>20</v>
      </c>
      <c r="O75" s="12">
        <v>0</v>
      </c>
      <c r="P75" s="14">
        <v>406.72799999999904</v>
      </c>
      <c r="Q75" s="2"/>
      <c r="R75" s="2"/>
      <c r="S75" s="2"/>
      <c r="T75" s="2"/>
      <c r="U75" s="2"/>
      <c r="V75" s="59">
        <v>5484</v>
      </c>
      <c r="W75" s="59">
        <v>1664</v>
      </c>
      <c r="X75" s="59">
        <v>266000</v>
      </c>
      <c r="Y75" s="59">
        <v>4</v>
      </c>
      <c r="Z75" s="59">
        <v>1</v>
      </c>
      <c r="AA75" s="36"/>
    </row>
    <row r="76" spans="1:27">
      <c r="F76" s="5">
        <v>0.7</v>
      </c>
      <c r="G76" s="5">
        <v>5.1100000000000003</v>
      </c>
      <c r="H76" s="5">
        <v>74.2</v>
      </c>
      <c r="J76" s="10">
        <v>0.7</v>
      </c>
      <c r="K76" s="10">
        <v>5.1100000000000003</v>
      </c>
      <c r="L76" s="10">
        <v>74.2</v>
      </c>
      <c r="N76" s="12">
        <v>16</v>
      </c>
      <c r="O76" s="12">
        <v>0</v>
      </c>
      <c r="P76" s="14">
        <v>363.20400000000001</v>
      </c>
      <c r="Q76" s="2"/>
      <c r="R76" s="2"/>
      <c r="S76" s="2"/>
      <c r="T76" s="2"/>
      <c r="U76" s="2"/>
      <c r="V76" s="59">
        <v>5348</v>
      </c>
      <c r="W76" s="59">
        <v>1386</v>
      </c>
      <c r="X76" s="59">
        <v>310000</v>
      </c>
      <c r="Y76" s="59">
        <v>6</v>
      </c>
      <c r="Z76" s="59">
        <v>1</v>
      </c>
      <c r="AA76" s="36"/>
    </row>
    <row r="77" spans="1:27">
      <c r="F77" s="5">
        <v>0.7</v>
      </c>
      <c r="G77" s="5">
        <v>5.71</v>
      </c>
      <c r="H77" s="5">
        <v>75.400000000000006</v>
      </c>
      <c r="J77" s="10">
        <v>0.7</v>
      </c>
      <c r="K77" s="10">
        <v>5.71</v>
      </c>
      <c r="L77" s="10">
        <v>75.400000000000006</v>
      </c>
      <c r="N77" s="12">
        <v>17</v>
      </c>
      <c r="O77" s="12">
        <v>0</v>
      </c>
      <c r="P77" s="14">
        <v>377.40600000000001</v>
      </c>
      <c r="Q77" s="2"/>
      <c r="R77" s="2"/>
      <c r="S77" s="2"/>
      <c r="T77" s="2"/>
      <c r="U77" s="2"/>
      <c r="V77" s="59">
        <v>15834</v>
      </c>
      <c r="W77" s="59">
        <v>2617</v>
      </c>
      <c r="X77" s="59">
        <v>471250</v>
      </c>
      <c r="Y77" s="59">
        <v>5</v>
      </c>
      <c r="Z77" s="59">
        <v>1</v>
      </c>
      <c r="AA77" s="36"/>
    </row>
    <row r="78" spans="1:27">
      <c r="F78" s="5">
        <v>2</v>
      </c>
      <c r="G78" s="5">
        <v>5.45</v>
      </c>
      <c r="H78" s="5">
        <v>81.3</v>
      </c>
      <c r="J78" s="10">
        <v>2</v>
      </c>
      <c r="K78" s="10">
        <v>5.45</v>
      </c>
      <c r="L78" s="10">
        <v>81.3</v>
      </c>
      <c r="N78" s="12">
        <v>14</v>
      </c>
      <c r="O78" s="12">
        <v>0</v>
      </c>
      <c r="P78" s="14">
        <v>368.87400000000002</v>
      </c>
      <c r="Q78" s="2"/>
      <c r="R78" s="2"/>
      <c r="S78" s="2"/>
      <c r="T78" s="2"/>
      <c r="U78" s="2"/>
      <c r="V78" s="59">
        <v>8022</v>
      </c>
      <c r="W78" s="59">
        <v>2321</v>
      </c>
      <c r="X78" s="59">
        <v>335000</v>
      </c>
      <c r="Y78" s="59">
        <v>4</v>
      </c>
      <c r="Z78" s="59">
        <v>1</v>
      </c>
      <c r="AA78" s="36"/>
    </row>
    <row r="79" spans="1:27">
      <c r="F79" s="5">
        <v>2.2000000000000002</v>
      </c>
      <c r="G79" s="5">
        <v>6.05</v>
      </c>
      <c r="H79" s="5">
        <v>75</v>
      </c>
      <c r="J79" s="10">
        <v>2.2000000000000002</v>
      </c>
      <c r="K79" s="10">
        <v>6.05</v>
      </c>
      <c r="L79" s="10">
        <v>75</v>
      </c>
      <c r="N79" s="12">
        <v>12</v>
      </c>
      <c r="O79" s="12">
        <v>0</v>
      </c>
      <c r="P79" s="14">
        <v>401.274</v>
      </c>
      <c r="Q79" s="2"/>
      <c r="R79" s="2"/>
      <c r="S79" s="2"/>
      <c r="T79" s="2"/>
      <c r="U79" s="2"/>
      <c r="V79" s="59">
        <v>11966</v>
      </c>
      <c r="W79" s="59">
        <v>2638</v>
      </c>
      <c r="X79" s="59">
        <v>495000</v>
      </c>
      <c r="Y79" s="59">
        <v>4</v>
      </c>
      <c r="Z79" s="59">
        <v>1</v>
      </c>
      <c r="AA79" s="36"/>
    </row>
    <row r="80" spans="1:27">
      <c r="N80" s="12">
        <v>22</v>
      </c>
      <c r="O80" s="12">
        <v>0</v>
      </c>
      <c r="P80" s="14">
        <v>428.32799999999997</v>
      </c>
      <c r="Q80" s="2"/>
      <c r="R80" s="2"/>
      <c r="S80" s="2"/>
      <c r="T80" s="2"/>
      <c r="U80" s="2"/>
      <c r="V80" s="59">
        <v>8460</v>
      </c>
      <c r="W80" s="59">
        <v>1915</v>
      </c>
      <c r="X80" s="59">
        <v>279500</v>
      </c>
      <c r="Y80" s="59">
        <v>4</v>
      </c>
      <c r="Z80" s="59">
        <v>1</v>
      </c>
      <c r="AA80" s="36"/>
    </row>
    <row r="81" spans="14:27">
      <c r="N81" s="12">
        <v>8</v>
      </c>
      <c r="O81" s="12">
        <v>0</v>
      </c>
      <c r="P81" s="14">
        <v>354.94200000000001</v>
      </c>
      <c r="Q81" s="2"/>
      <c r="R81" s="2"/>
      <c r="S81" s="2"/>
      <c r="T81" s="2"/>
      <c r="U81" s="2"/>
      <c r="V81" s="59">
        <v>15105</v>
      </c>
      <c r="W81" s="59">
        <v>2589</v>
      </c>
      <c r="X81" s="59">
        <v>380000</v>
      </c>
      <c r="Y81" s="59">
        <v>4</v>
      </c>
      <c r="Z81" s="59">
        <v>1</v>
      </c>
      <c r="AA81" s="36"/>
    </row>
    <row r="82" spans="14:27">
      <c r="N82" s="12">
        <v>21</v>
      </c>
      <c r="O82" s="12">
        <v>0</v>
      </c>
      <c r="P82" s="14">
        <v>427.19399999999905</v>
      </c>
      <c r="Q82" s="2"/>
      <c r="R82" s="2"/>
      <c r="S82" s="2"/>
      <c r="T82" s="2"/>
      <c r="U82" s="2"/>
      <c r="V82" s="59">
        <v>6300</v>
      </c>
      <c r="W82" s="59">
        <v>1587</v>
      </c>
      <c r="X82" s="59">
        <v>220000</v>
      </c>
      <c r="Y82" s="59">
        <v>3</v>
      </c>
      <c r="Z82" s="59">
        <v>1</v>
      </c>
      <c r="AA82" s="36"/>
    </row>
    <row r="83" spans="14:27">
      <c r="N83" s="12">
        <v>14</v>
      </c>
      <c r="O83" s="12">
        <v>0</v>
      </c>
      <c r="P83" s="14">
        <v>318.38400000000001</v>
      </c>
      <c r="Q83" s="2"/>
      <c r="R83" s="2"/>
      <c r="S83" s="2"/>
      <c r="T83" s="2"/>
      <c r="U83" s="2"/>
      <c r="V83" s="59">
        <v>6000</v>
      </c>
      <c r="W83" s="59">
        <v>1536</v>
      </c>
      <c r="X83" s="59">
        <v>240000</v>
      </c>
      <c r="Y83" s="59">
        <v>3</v>
      </c>
      <c r="Z83" s="59">
        <v>1</v>
      </c>
      <c r="AA83" s="36"/>
    </row>
    <row r="84" spans="14:27">
      <c r="N84" s="12">
        <v>2</v>
      </c>
      <c r="O84" s="12">
        <v>0</v>
      </c>
      <c r="P84" s="14">
        <v>242.244</v>
      </c>
      <c r="V84" s="59">
        <v>4054</v>
      </c>
      <c r="W84" s="59">
        <v>1736</v>
      </c>
      <c r="X84" s="59">
        <v>230000</v>
      </c>
      <c r="Y84" s="59">
        <v>3</v>
      </c>
      <c r="Z84" s="59">
        <v>1</v>
      </c>
      <c r="AA84" s="36"/>
    </row>
    <row r="85" spans="14:27">
      <c r="N85" s="12">
        <v>8</v>
      </c>
      <c r="O85" s="12">
        <v>0</v>
      </c>
      <c r="P85" s="14">
        <v>293.22000000000003</v>
      </c>
      <c r="Q85" s="2"/>
      <c r="R85" s="2"/>
      <c r="S85" s="2"/>
      <c r="T85" s="2"/>
      <c r="U85" s="2"/>
      <c r="V85" s="59">
        <v>92681</v>
      </c>
      <c r="W85" s="59">
        <v>1696</v>
      </c>
      <c r="X85" s="59">
        <v>318000</v>
      </c>
      <c r="Y85" s="59">
        <v>4</v>
      </c>
      <c r="Z85" s="59">
        <v>1</v>
      </c>
      <c r="AA85" s="36"/>
    </row>
    <row r="86" spans="14:27">
      <c r="N86" s="12">
        <v>4</v>
      </c>
      <c r="O86" s="12">
        <v>0</v>
      </c>
      <c r="P86" s="14">
        <v>254.232</v>
      </c>
      <c r="V86" s="59">
        <v>8178</v>
      </c>
      <c r="W86" s="59">
        <v>2186</v>
      </c>
      <c r="X86" s="59">
        <v>330000</v>
      </c>
      <c r="Y86" s="59">
        <v>3</v>
      </c>
      <c r="Z86" s="59">
        <v>1</v>
      </c>
      <c r="AA86" s="36"/>
    </row>
    <row r="87" spans="14:27">
      <c r="N87" s="12">
        <v>11</v>
      </c>
      <c r="O87" s="12">
        <v>0</v>
      </c>
      <c r="P87" s="14">
        <v>306.72000000000003</v>
      </c>
      <c r="Q87" s="2"/>
      <c r="R87" s="2"/>
      <c r="S87" s="2"/>
      <c r="T87" s="2"/>
      <c r="U87" s="2"/>
      <c r="V87" s="59">
        <v>5944</v>
      </c>
      <c r="W87" s="59">
        <v>1928</v>
      </c>
      <c r="X87" s="59">
        <v>246000</v>
      </c>
      <c r="Y87" s="59">
        <v>4</v>
      </c>
      <c r="Z87" s="59">
        <v>1</v>
      </c>
      <c r="AA87" s="36"/>
    </row>
    <row r="88" spans="14:27">
      <c r="N88" s="12">
        <v>10</v>
      </c>
      <c r="O88" s="12">
        <v>0</v>
      </c>
      <c r="P88" s="14">
        <v>348.35399999999998</v>
      </c>
      <c r="Q88" s="2"/>
      <c r="R88" s="2"/>
      <c r="S88" s="2"/>
      <c r="T88" s="2"/>
      <c r="U88" s="2"/>
      <c r="V88" s="59">
        <v>4315</v>
      </c>
      <c r="W88" s="59">
        <v>1535</v>
      </c>
      <c r="X88" s="59">
        <v>111000</v>
      </c>
      <c r="Y88" s="59">
        <v>4</v>
      </c>
      <c r="Z88" s="59">
        <v>1</v>
      </c>
      <c r="AA88" s="36"/>
    </row>
    <row r="89" spans="14:27">
      <c r="N89" s="12">
        <v>18</v>
      </c>
      <c r="O89" s="12">
        <v>0</v>
      </c>
      <c r="P89" s="14">
        <v>402.94799999999998</v>
      </c>
      <c r="V89" s="59">
        <v>5167</v>
      </c>
      <c r="W89" s="59">
        <v>1980</v>
      </c>
      <c r="X89" s="59">
        <v>268125</v>
      </c>
      <c r="Y89" s="59">
        <v>3</v>
      </c>
      <c r="Z89" s="59">
        <v>1</v>
      </c>
      <c r="AA89" s="36"/>
    </row>
    <row r="90" spans="14:27">
      <c r="N90" s="12">
        <v>25</v>
      </c>
      <c r="O90" s="12">
        <v>0</v>
      </c>
      <c r="P90" s="14">
        <v>424.44</v>
      </c>
      <c r="V90" s="59">
        <v>7893</v>
      </c>
      <c r="W90" s="59">
        <v>2090</v>
      </c>
      <c r="X90" s="59">
        <v>244000</v>
      </c>
      <c r="Y90" s="59">
        <v>4</v>
      </c>
      <c r="Z90" s="59">
        <v>1</v>
      </c>
      <c r="AA90" s="36"/>
    </row>
    <row r="91" spans="14:27">
      <c r="N91" s="12">
        <v>11</v>
      </c>
      <c r="O91" s="12">
        <v>0</v>
      </c>
      <c r="P91" s="14">
        <v>321.57</v>
      </c>
      <c r="Q91" s="2"/>
      <c r="R91" s="2"/>
      <c r="S91" s="2"/>
      <c r="T91" s="2"/>
      <c r="U91" s="2"/>
      <c r="V91" s="59">
        <v>6056</v>
      </c>
      <c r="W91" s="59">
        <v>1837</v>
      </c>
      <c r="X91" s="59">
        <v>295000</v>
      </c>
      <c r="Y91" s="59">
        <v>3</v>
      </c>
      <c r="Z91" s="59">
        <v>1</v>
      </c>
      <c r="AA91" s="36"/>
    </row>
    <row r="92" spans="14:27">
      <c r="N92" s="12">
        <v>17</v>
      </c>
      <c r="O92" s="12">
        <v>0</v>
      </c>
      <c r="P92" s="14">
        <v>374.976</v>
      </c>
      <c r="Q92" s="2"/>
      <c r="R92" s="2"/>
      <c r="S92" s="2"/>
      <c r="T92" s="2"/>
      <c r="U92" s="2"/>
      <c r="V92" s="59">
        <v>4950</v>
      </c>
      <c r="W92" s="59">
        <v>1774</v>
      </c>
      <c r="X92" s="59">
        <v>242000</v>
      </c>
      <c r="Y92" s="59">
        <v>4</v>
      </c>
      <c r="Z92" s="59">
        <v>1</v>
      </c>
      <c r="AA92" s="36"/>
    </row>
    <row r="93" spans="14:27">
      <c r="N93" s="12">
        <v>19</v>
      </c>
      <c r="O93" s="12">
        <v>0</v>
      </c>
      <c r="P93" s="14">
        <v>411.69600000000003</v>
      </c>
      <c r="Q93" s="2"/>
      <c r="R93" s="2"/>
      <c r="S93" s="2"/>
      <c r="T93" s="2"/>
      <c r="U93" s="2"/>
      <c r="V93" s="2"/>
      <c r="W93" s="2"/>
    </row>
    <row r="94" spans="14:27">
      <c r="N94" s="12">
        <v>7</v>
      </c>
      <c r="O94" s="12">
        <v>0</v>
      </c>
      <c r="P94" s="14">
        <v>261.57600000000002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4:L70"/>
  <sheetViews>
    <sheetView workbookViewId="0">
      <selection activeCell="J7" sqref="J7:L19"/>
    </sheetView>
  </sheetViews>
  <sheetFormatPr defaultRowHeight="15"/>
  <sheetData>
    <row r="4" spans="1:12">
      <c r="B4" s="37" t="s">
        <v>46</v>
      </c>
      <c r="C4" s="37" t="s">
        <v>47</v>
      </c>
      <c r="D4" s="37" t="s">
        <v>48</v>
      </c>
      <c r="F4" s="37" t="s">
        <v>47</v>
      </c>
      <c r="G4" s="37" t="s">
        <v>92</v>
      </c>
      <c r="H4" s="37" t="s">
        <v>48</v>
      </c>
      <c r="I4" s="37"/>
      <c r="J4" s="37"/>
      <c r="K4" s="37"/>
    </row>
    <row r="5" spans="1:12">
      <c r="A5">
        <v>1</v>
      </c>
      <c r="B5">
        <v>37288</v>
      </c>
      <c r="C5">
        <v>1106.73</v>
      </c>
      <c r="D5">
        <v>1130.2</v>
      </c>
      <c r="F5">
        <v>1106.73</v>
      </c>
      <c r="G5" s="28">
        <v>1</v>
      </c>
      <c r="H5">
        <v>1130.2</v>
      </c>
    </row>
    <row r="6" spans="1:12">
      <c r="A6">
        <f>A5+1</f>
        <v>2</v>
      </c>
      <c r="B6">
        <v>37316</v>
      </c>
      <c r="C6">
        <v>1147.3900000000001</v>
      </c>
      <c r="D6">
        <v>1119.5</v>
      </c>
      <c r="F6">
        <v>1147.3900000000001</v>
      </c>
      <c r="G6" s="28">
        <v>1</v>
      </c>
      <c r="H6">
        <v>1119.5</v>
      </c>
    </row>
    <row r="7" spans="1:12">
      <c r="A7">
        <f t="shared" ref="A7:A70" si="0">A6+1</f>
        <v>3</v>
      </c>
      <c r="B7">
        <v>37347</v>
      </c>
      <c r="C7">
        <v>1076.92</v>
      </c>
      <c r="D7">
        <v>1144</v>
      </c>
      <c r="F7">
        <v>1076.92</v>
      </c>
      <c r="G7" s="28">
        <v>1</v>
      </c>
      <c r="H7">
        <v>1144</v>
      </c>
      <c r="J7" s="38" t="s">
        <v>93</v>
      </c>
      <c r="K7" s="40">
        <f t="array" ref="K7:L8">MMULT(TRANSPOSE(G5:H70),G5:H70)</f>
        <v>66</v>
      </c>
      <c r="L7" s="41">
        <v>76472.199999999983</v>
      </c>
    </row>
    <row r="8" spans="1:12">
      <c r="A8">
        <f t="shared" si="0"/>
        <v>4</v>
      </c>
      <c r="B8">
        <v>37377</v>
      </c>
      <c r="C8">
        <v>1067.1400000000001</v>
      </c>
      <c r="D8">
        <v>1052.8</v>
      </c>
      <c r="F8">
        <v>1067.1400000000001</v>
      </c>
      <c r="G8" s="28">
        <v>1</v>
      </c>
      <c r="H8">
        <v>1052.8</v>
      </c>
      <c r="J8" s="38"/>
      <c r="K8" s="40">
        <v>76472.199999999983</v>
      </c>
      <c r="L8" s="41">
        <v>90663191.140000001</v>
      </c>
    </row>
    <row r="9" spans="1:12">
      <c r="A9">
        <f t="shared" si="0"/>
        <v>5</v>
      </c>
      <c r="B9">
        <v>37408</v>
      </c>
      <c r="C9">
        <v>989.82</v>
      </c>
      <c r="D9">
        <v>1056.5</v>
      </c>
      <c r="F9">
        <v>989.82</v>
      </c>
      <c r="G9" s="28">
        <v>1</v>
      </c>
      <c r="H9">
        <v>1056.5</v>
      </c>
      <c r="J9" s="38"/>
    </row>
    <row r="10" spans="1:12" ht="17.25">
      <c r="A10">
        <f t="shared" si="0"/>
        <v>6</v>
      </c>
      <c r="B10">
        <v>37438</v>
      </c>
      <c r="C10">
        <v>911.62</v>
      </c>
      <c r="D10">
        <v>969.3</v>
      </c>
      <c r="F10">
        <v>911.62</v>
      </c>
      <c r="G10" s="28">
        <v>1</v>
      </c>
      <c r="H10">
        <v>969.3</v>
      </c>
      <c r="J10" s="38" t="s">
        <v>94</v>
      </c>
      <c r="K10" s="40">
        <f t="array" ref="K10:L11">MINVERSE(K7:L8)</f>
        <v>0.66775448193905973</v>
      </c>
      <c r="L10" s="41">
        <v>-5.6323468931164479E-4</v>
      </c>
    </row>
    <row r="11" spans="1:12">
      <c r="A11">
        <f t="shared" si="0"/>
        <v>7</v>
      </c>
      <c r="B11">
        <v>37469</v>
      </c>
      <c r="C11">
        <v>916.07</v>
      </c>
      <c r="D11">
        <v>889</v>
      </c>
      <c r="F11">
        <v>916.07</v>
      </c>
      <c r="G11" s="28">
        <v>1</v>
      </c>
      <c r="H11">
        <v>889</v>
      </c>
      <c r="K11" s="40">
        <v>-5.6323468931164468E-4</v>
      </c>
      <c r="L11" s="41">
        <v>4.8610461703166062E-7</v>
      </c>
    </row>
    <row r="12" spans="1:12">
      <c r="A12">
        <f t="shared" si="0"/>
        <v>8</v>
      </c>
      <c r="B12">
        <v>37500</v>
      </c>
      <c r="C12">
        <v>815.28</v>
      </c>
      <c r="D12">
        <v>908.5</v>
      </c>
      <c r="F12">
        <v>815.28</v>
      </c>
      <c r="G12" s="28">
        <v>1</v>
      </c>
      <c r="H12">
        <v>908.5</v>
      </c>
    </row>
    <row r="13" spans="1:12">
      <c r="A13">
        <f t="shared" si="0"/>
        <v>9</v>
      </c>
      <c r="B13">
        <v>37530</v>
      </c>
      <c r="C13">
        <v>885.76</v>
      </c>
      <c r="D13">
        <v>847.5</v>
      </c>
      <c r="F13">
        <v>885.76</v>
      </c>
      <c r="G13" s="28">
        <v>1</v>
      </c>
      <c r="H13">
        <v>847.5</v>
      </c>
      <c r="J13" s="38" t="s">
        <v>95</v>
      </c>
      <c r="K13" s="42">
        <f t="array" ref="K13:K14">MMULT(TRANSPOSE(G5:H70),F5:F70)</f>
        <v>76506.080000000002</v>
      </c>
    </row>
    <row r="14" spans="1:12">
      <c r="A14">
        <f t="shared" si="0"/>
        <v>10</v>
      </c>
      <c r="B14">
        <v>37561</v>
      </c>
      <c r="C14">
        <v>936.31</v>
      </c>
      <c r="D14">
        <v>901.5</v>
      </c>
      <c r="F14">
        <v>936.31</v>
      </c>
      <c r="G14" s="28">
        <v>1</v>
      </c>
      <c r="H14">
        <v>901.5</v>
      </c>
      <c r="K14" s="42">
        <v>90665877.07599999</v>
      </c>
    </row>
    <row r="15" spans="1:12">
      <c r="A15">
        <f t="shared" si="0"/>
        <v>11</v>
      </c>
      <c r="B15">
        <v>37591</v>
      </c>
      <c r="C15">
        <v>879.82</v>
      </c>
      <c r="D15">
        <v>932.2</v>
      </c>
      <c r="F15">
        <v>879.82</v>
      </c>
      <c r="G15" s="28">
        <v>1</v>
      </c>
      <c r="H15">
        <v>932.2</v>
      </c>
    </row>
    <row r="16" spans="1:12">
      <c r="A16">
        <f t="shared" si="0"/>
        <v>12</v>
      </c>
      <c r="B16">
        <v>37622</v>
      </c>
      <c r="C16">
        <v>855.7</v>
      </c>
      <c r="D16">
        <v>879.9</v>
      </c>
      <c r="F16">
        <v>855.7</v>
      </c>
      <c r="G16" s="28">
        <v>1</v>
      </c>
      <c r="H16">
        <v>879.9</v>
      </c>
    </row>
    <row r="17" spans="1:11">
      <c r="A17">
        <f t="shared" si="0"/>
        <v>13</v>
      </c>
      <c r="B17">
        <v>37653</v>
      </c>
      <c r="C17">
        <v>841.15</v>
      </c>
      <c r="D17">
        <v>857</v>
      </c>
      <c r="F17">
        <v>841.15</v>
      </c>
      <c r="G17" s="28">
        <v>1</v>
      </c>
      <c r="H17">
        <v>857</v>
      </c>
      <c r="J17" s="39" t="s">
        <v>96</v>
      </c>
      <c r="K17" s="42">
        <f t="array" ref="K17:K18">MMULT(K10:L11,K13:K14)</f>
        <v>21.110709519627562</v>
      </c>
    </row>
    <row r="18" spans="1:11">
      <c r="A18">
        <f t="shared" si="0"/>
        <v>14</v>
      </c>
      <c r="B18">
        <v>37681</v>
      </c>
      <c r="C18">
        <v>848.18</v>
      </c>
      <c r="D18">
        <v>844.4</v>
      </c>
      <c r="F18">
        <v>848.18</v>
      </c>
      <c r="G18" s="28">
        <v>1</v>
      </c>
      <c r="H18">
        <v>844.4</v>
      </c>
      <c r="K18" s="42">
        <v>0.98222325461676263</v>
      </c>
    </row>
    <row r="19" spans="1:11">
      <c r="A19">
        <f t="shared" si="0"/>
        <v>15</v>
      </c>
      <c r="B19">
        <v>37712</v>
      </c>
      <c r="C19">
        <v>916.92</v>
      </c>
      <c r="D19">
        <v>856.2</v>
      </c>
      <c r="F19">
        <v>916.92</v>
      </c>
      <c r="G19" s="28">
        <v>1</v>
      </c>
      <c r="H19">
        <v>856.2</v>
      </c>
    </row>
    <row r="20" spans="1:11">
      <c r="A20">
        <f t="shared" si="0"/>
        <v>16</v>
      </c>
      <c r="B20">
        <v>37742</v>
      </c>
      <c r="C20">
        <v>963.59</v>
      </c>
      <c r="D20">
        <v>915.2</v>
      </c>
      <c r="F20">
        <v>963.59</v>
      </c>
      <c r="G20" s="28">
        <v>1</v>
      </c>
      <c r="H20">
        <v>915.2</v>
      </c>
    </row>
    <row r="21" spans="1:11">
      <c r="A21">
        <f t="shared" si="0"/>
        <v>17</v>
      </c>
      <c r="B21">
        <v>37773</v>
      </c>
      <c r="C21">
        <v>974.5</v>
      </c>
      <c r="D21">
        <v>966.5</v>
      </c>
      <c r="F21">
        <v>974.5</v>
      </c>
      <c r="G21" s="28">
        <v>1</v>
      </c>
      <c r="H21">
        <v>966.5</v>
      </c>
    </row>
    <row r="22" spans="1:11">
      <c r="A22">
        <f t="shared" si="0"/>
        <v>18</v>
      </c>
      <c r="B22">
        <v>37803</v>
      </c>
      <c r="C22">
        <v>990.31</v>
      </c>
      <c r="D22">
        <v>981</v>
      </c>
      <c r="F22">
        <v>990.31</v>
      </c>
      <c r="G22" s="28">
        <v>1</v>
      </c>
      <c r="H22">
        <v>981</v>
      </c>
    </row>
    <row r="23" spans="1:11">
      <c r="A23">
        <f t="shared" si="0"/>
        <v>19</v>
      </c>
      <c r="B23">
        <v>37834</v>
      </c>
      <c r="C23">
        <v>1008.01</v>
      </c>
      <c r="D23">
        <v>978.7</v>
      </c>
      <c r="F23">
        <v>1008.01</v>
      </c>
      <c r="G23" s="28">
        <v>1</v>
      </c>
      <c r="H23">
        <v>978.7</v>
      </c>
    </row>
    <row r="24" spans="1:11">
      <c r="A24">
        <f t="shared" si="0"/>
        <v>20</v>
      </c>
      <c r="B24">
        <v>37865</v>
      </c>
      <c r="C24">
        <v>995.97</v>
      </c>
      <c r="D24">
        <v>1012.3</v>
      </c>
      <c r="F24">
        <v>995.97</v>
      </c>
      <c r="G24" s="28">
        <v>1</v>
      </c>
      <c r="H24">
        <v>1012.3</v>
      </c>
    </row>
    <row r="25" spans="1:11">
      <c r="A25">
        <f t="shared" si="0"/>
        <v>21</v>
      </c>
      <c r="B25">
        <v>37895</v>
      </c>
      <c r="C25">
        <v>1050.71</v>
      </c>
      <c r="D25">
        <v>997.8</v>
      </c>
      <c r="F25">
        <v>1050.71</v>
      </c>
      <c r="G25" s="28">
        <v>1</v>
      </c>
      <c r="H25">
        <v>997.8</v>
      </c>
    </row>
    <row r="26" spans="1:11">
      <c r="A26">
        <f t="shared" si="0"/>
        <v>22</v>
      </c>
      <c r="B26">
        <v>37926</v>
      </c>
      <c r="C26">
        <v>1058.2</v>
      </c>
      <c r="D26">
        <v>1047.5999999999999</v>
      </c>
      <c r="F26">
        <v>1058.2</v>
      </c>
      <c r="G26" s="28">
        <v>1</v>
      </c>
      <c r="H26">
        <v>1047.5999999999999</v>
      </c>
    </row>
    <row r="27" spans="1:11">
      <c r="A27">
        <f t="shared" si="0"/>
        <v>23</v>
      </c>
      <c r="B27">
        <v>37956</v>
      </c>
      <c r="C27">
        <v>1111.92</v>
      </c>
      <c r="D27">
        <v>1069.2</v>
      </c>
      <c r="F27">
        <v>1111.92</v>
      </c>
      <c r="G27" s="28">
        <v>1</v>
      </c>
      <c r="H27">
        <v>1069.2</v>
      </c>
    </row>
    <row r="28" spans="1:11">
      <c r="A28">
        <f t="shared" si="0"/>
        <v>24</v>
      </c>
      <c r="B28">
        <v>37987</v>
      </c>
      <c r="C28">
        <v>1131.1300000000001</v>
      </c>
      <c r="D28">
        <v>1109.2</v>
      </c>
      <c r="F28">
        <v>1131.1300000000001</v>
      </c>
      <c r="G28" s="28">
        <v>1</v>
      </c>
      <c r="H28">
        <v>1109.2</v>
      </c>
    </row>
    <row r="29" spans="1:11">
      <c r="A29">
        <f t="shared" si="0"/>
        <v>25</v>
      </c>
      <c r="B29">
        <v>38018</v>
      </c>
      <c r="C29">
        <v>1144.94</v>
      </c>
      <c r="D29">
        <v>1133.9000000000001</v>
      </c>
      <c r="F29">
        <v>1144.94</v>
      </c>
      <c r="G29" s="28">
        <v>1</v>
      </c>
      <c r="H29">
        <v>1133.9000000000001</v>
      </c>
    </row>
    <row r="30" spans="1:11">
      <c r="A30">
        <f t="shared" si="0"/>
        <v>26</v>
      </c>
      <c r="B30">
        <v>38047</v>
      </c>
      <c r="C30">
        <v>1126.21</v>
      </c>
      <c r="D30">
        <v>1155.7</v>
      </c>
      <c r="F30">
        <v>1126.21</v>
      </c>
      <c r="G30" s="28">
        <v>1</v>
      </c>
      <c r="H30">
        <v>1155.7</v>
      </c>
    </row>
    <row r="31" spans="1:11">
      <c r="A31">
        <f t="shared" si="0"/>
        <v>27</v>
      </c>
      <c r="B31">
        <v>38078</v>
      </c>
      <c r="C31">
        <v>1107.3</v>
      </c>
      <c r="D31">
        <v>1130.3</v>
      </c>
      <c r="F31">
        <v>1107.3</v>
      </c>
      <c r="G31" s="28">
        <v>1</v>
      </c>
      <c r="H31">
        <v>1130.3</v>
      </c>
    </row>
    <row r="32" spans="1:11">
      <c r="A32">
        <f t="shared" si="0"/>
        <v>28</v>
      </c>
      <c r="B32">
        <v>38108</v>
      </c>
      <c r="C32">
        <v>1120.68</v>
      </c>
      <c r="D32">
        <v>1105</v>
      </c>
      <c r="F32">
        <v>1120.68</v>
      </c>
      <c r="G32" s="28">
        <v>1</v>
      </c>
      <c r="H32">
        <v>1105</v>
      </c>
    </row>
    <row r="33" spans="1:8">
      <c r="A33">
        <f t="shared" si="0"/>
        <v>29</v>
      </c>
      <c r="B33">
        <v>38139</v>
      </c>
      <c r="C33">
        <v>1140.8399999999999</v>
      </c>
      <c r="D33">
        <v>1120.9000000000001</v>
      </c>
      <c r="F33">
        <v>1140.8399999999999</v>
      </c>
      <c r="G33" s="28">
        <v>1</v>
      </c>
      <c r="H33">
        <v>1120.9000000000001</v>
      </c>
    </row>
    <row r="34" spans="1:8">
      <c r="A34">
        <f t="shared" si="0"/>
        <v>30</v>
      </c>
      <c r="B34">
        <v>38169</v>
      </c>
      <c r="C34">
        <v>1101.72</v>
      </c>
      <c r="D34">
        <v>1129</v>
      </c>
      <c r="F34">
        <v>1101.72</v>
      </c>
      <c r="G34" s="28">
        <v>1</v>
      </c>
      <c r="H34">
        <v>1129</v>
      </c>
    </row>
    <row r="35" spans="1:8">
      <c r="A35">
        <f t="shared" si="0"/>
        <v>31</v>
      </c>
      <c r="B35">
        <v>38200</v>
      </c>
      <c r="C35">
        <v>1104.24</v>
      </c>
      <c r="D35">
        <v>1105.5999999999999</v>
      </c>
      <c r="F35">
        <v>1104.24</v>
      </c>
      <c r="G35" s="28">
        <v>1</v>
      </c>
      <c r="H35">
        <v>1105.5999999999999</v>
      </c>
    </row>
    <row r="36" spans="1:8">
      <c r="A36">
        <f t="shared" si="0"/>
        <v>32</v>
      </c>
      <c r="B36">
        <v>38231</v>
      </c>
      <c r="C36">
        <v>1114.58</v>
      </c>
      <c r="D36">
        <v>1106</v>
      </c>
      <c r="F36">
        <v>1114.58</v>
      </c>
      <c r="G36" s="28">
        <v>1</v>
      </c>
      <c r="H36">
        <v>1106</v>
      </c>
    </row>
    <row r="37" spans="1:8">
      <c r="A37">
        <f t="shared" si="0"/>
        <v>33</v>
      </c>
      <c r="B37">
        <v>38261</v>
      </c>
      <c r="C37">
        <v>1130.2</v>
      </c>
      <c r="D37">
        <v>1132</v>
      </c>
      <c r="F37">
        <v>1130.2</v>
      </c>
      <c r="G37" s="28">
        <v>1</v>
      </c>
      <c r="H37">
        <v>1132</v>
      </c>
    </row>
    <row r="38" spans="1:8">
      <c r="A38">
        <f t="shared" si="0"/>
        <v>34</v>
      </c>
      <c r="B38">
        <v>38292</v>
      </c>
      <c r="C38">
        <v>1173.82</v>
      </c>
      <c r="D38">
        <v>1130.5</v>
      </c>
      <c r="F38">
        <v>1173.82</v>
      </c>
      <c r="G38" s="28">
        <v>1</v>
      </c>
      <c r="H38">
        <v>1130.5</v>
      </c>
    </row>
    <row r="39" spans="1:8">
      <c r="A39">
        <f t="shared" si="0"/>
        <v>35</v>
      </c>
      <c r="B39">
        <v>38322</v>
      </c>
      <c r="C39">
        <v>1211.92</v>
      </c>
      <c r="D39">
        <v>1191.5</v>
      </c>
      <c r="F39">
        <v>1211.92</v>
      </c>
      <c r="G39" s="28">
        <v>1</v>
      </c>
      <c r="H39">
        <v>1191.5</v>
      </c>
    </row>
    <row r="40" spans="1:8">
      <c r="A40">
        <f t="shared" si="0"/>
        <v>36</v>
      </c>
      <c r="B40">
        <v>38353</v>
      </c>
      <c r="C40">
        <v>1181.27</v>
      </c>
      <c r="D40">
        <v>1211.3</v>
      </c>
      <c r="F40">
        <v>1181.27</v>
      </c>
      <c r="G40" s="28">
        <v>1</v>
      </c>
      <c r="H40">
        <v>1211.3</v>
      </c>
    </row>
    <row r="41" spans="1:8">
      <c r="A41">
        <f t="shared" si="0"/>
        <v>37</v>
      </c>
      <c r="B41">
        <v>38384</v>
      </c>
      <c r="C41">
        <v>1203.5999999999999</v>
      </c>
      <c r="D41">
        <v>1189</v>
      </c>
      <c r="F41">
        <v>1203.5999999999999</v>
      </c>
      <c r="G41" s="28">
        <v>1</v>
      </c>
      <c r="H41">
        <v>1189</v>
      </c>
    </row>
    <row r="42" spans="1:8">
      <c r="A42">
        <f t="shared" si="0"/>
        <v>38</v>
      </c>
      <c r="B42">
        <v>38412</v>
      </c>
      <c r="C42">
        <v>1180.5899999999999</v>
      </c>
      <c r="D42">
        <v>1211.2</v>
      </c>
      <c r="F42">
        <v>1180.5899999999999</v>
      </c>
      <c r="G42" s="28">
        <v>1</v>
      </c>
      <c r="H42">
        <v>1211.2</v>
      </c>
    </row>
    <row r="43" spans="1:8">
      <c r="A43">
        <f t="shared" si="0"/>
        <v>39</v>
      </c>
      <c r="B43">
        <v>38443</v>
      </c>
      <c r="C43">
        <v>1156.8499999999999</v>
      </c>
      <c r="D43">
        <v>1173.5</v>
      </c>
      <c r="F43">
        <v>1156.8499999999999</v>
      </c>
      <c r="G43" s="28">
        <v>1</v>
      </c>
      <c r="H43">
        <v>1173.5</v>
      </c>
    </row>
    <row r="44" spans="1:8">
      <c r="A44">
        <f t="shared" si="0"/>
        <v>40</v>
      </c>
      <c r="B44">
        <v>38473</v>
      </c>
      <c r="C44">
        <v>1191.5</v>
      </c>
      <c r="D44">
        <v>1162.7</v>
      </c>
      <c r="F44">
        <v>1191.5</v>
      </c>
      <c r="G44" s="28">
        <v>1</v>
      </c>
      <c r="H44">
        <v>1162.7</v>
      </c>
    </row>
    <row r="45" spans="1:8">
      <c r="A45">
        <f t="shared" si="0"/>
        <v>41</v>
      </c>
      <c r="B45">
        <v>38504</v>
      </c>
      <c r="C45">
        <v>1191.33</v>
      </c>
      <c r="D45">
        <v>1201.2</v>
      </c>
      <c r="F45">
        <v>1191.33</v>
      </c>
      <c r="G45" s="28">
        <v>1</v>
      </c>
      <c r="H45">
        <v>1201.2</v>
      </c>
    </row>
    <row r="46" spans="1:8">
      <c r="A46">
        <f t="shared" si="0"/>
        <v>42</v>
      </c>
      <c r="B46">
        <v>38534</v>
      </c>
      <c r="C46">
        <v>1234.18</v>
      </c>
      <c r="D46">
        <v>1199.5</v>
      </c>
      <c r="F46">
        <v>1234.18</v>
      </c>
      <c r="G46" s="28">
        <v>1</v>
      </c>
      <c r="H46">
        <v>1199.5</v>
      </c>
    </row>
    <row r="47" spans="1:8">
      <c r="A47">
        <f t="shared" si="0"/>
        <v>43</v>
      </c>
      <c r="B47">
        <v>38565</v>
      </c>
      <c r="C47">
        <v>1220.33</v>
      </c>
      <c r="D47">
        <v>1237.2</v>
      </c>
      <c r="F47">
        <v>1220.33</v>
      </c>
      <c r="G47" s="28">
        <v>1</v>
      </c>
      <c r="H47">
        <v>1237.2</v>
      </c>
    </row>
    <row r="48" spans="1:8">
      <c r="A48">
        <f t="shared" si="0"/>
        <v>44</v>
      </c>
      <c r="B48">
        <v>38596</v>
      </c>
      <c r="C48">
        <v>1228.81</v>
      </c>
      <c r="D48">
        <v>1222.8</v>
      </c>
      <c r="F48">
        <v>1228.81</v>
      </c>
      <c r="G48" s="28">
        <v>1</v>
      </c>
      <c r="H48">
        <v>1222.8</v>
      </c>
    </row>
    <row r="49" spans="1:8">
      <c r="A49">
        <f t="shared" si="0"/>
        <v>45</v>
      </c>
      <c r="B49">
        <v>38626</v>
      </c>
      <c r="C49">
        <v>1207.01</v>
      </c>
      <c r="D49">
        <v>1235.5</v>
      </c>
      <c r="F49">
        <v>1207.01</v>
      </c>
      <c r="G49" s="28">
        <v>1</v>
      </c>
      <c r="H49">
        <v>1235.5</v>
      </c>
    </row>
    <row r="50" spans="1:8">
      <c r="A50">
        <f t="shared" si="0"/>
        <v>46</v>
      </c>
      <c r="B50">
        <v>38657</v>
      </c>
      <c r="C50">
        <v>1249.48</v>
      </c>
      <c r="D50">
        <v>1205</v>
      </c>
      <c r="F50">
        <v>1249.48</v>
      </c>
      <c r="G50" s="28">
        <v>1</v>
      </c>
      <c r="H50">
        <v>1205</v>
      </c>
    </row>
    <row r="51" spans="1:8">
      <c r="A51">
        <f t="shared" si="0"/>
        <v>47</v>
      </c>
      <c r="B51">
        <v>38687</v>
      </c>
      <c r="C51">
        <v>1248.29</v>
      </c>
      <c r="D51">
        <v>1266.7</v>
      </c>
      <c r="F51">
        <v>1248.29</v>
      </c>
      <c r="G51" s="28">
        <v>1</v>
      </c>
      <c r="H51">
        <v>1266.7</v>
      </c>
    </row>
    <row r="52" spans="1:8">
      <c r="A52">
        <f t="shared" si="0"/>
        <v>48</v>
      </c>
      <c r="B52">
        <v>38718</v>
      </c>
      <c r="C52">
        <v>1280.08</v>
      </c>
      <c r="D52">
        <v>1275.5</v>
      </c>
      <c r="F52">
        <v>1280.08</v>
      </c>
      <c r="G52" s="28">
        <v>1</v>
      </c>
      <c r="H52">
        <v>1275.5</v>
      </c>
    </row>
    <row r="53" spans="1:8">
      <c r="A53">
        <f t="shared" si="0"/>
        <v>49</v>
      </c>
      <c r="B53">
        <v>38749</v>
      </c>
      <c r="C53">
        <v>1280.6600000000001</v>
      </c>
      <c r="D53">
        <v>1285.5</v>
      </c>
      <c r="F53">
        <v>1280.6600000000001</v>
      </c>
      <c r="G53" s="28">
        <v>1</v>
      </c>
      <c r="H53">
        <v>1285.5</v>
      </c>
    </row>
    <row r="54" spans="1:8">
      <c r="A54">
        <f t="shared" si="0"/>
        <v>50</v>
      </c>
      <c r="B54">
        <v>38777</v>
      </c>
      <c r="C54">
        <v>1294.8699999999999</v>
      </c>
      <c r="D54">
        <v>1292.5</v>
      </c>
      <c r="F54">
        <v>1294.8699999999999</v>
      </c>
      <c r="G54" s="28">
        <v>1</v>
      </c>
      <c r="H54">
        <v>1292.5</v>
      </c>
    </row>
    <row r="55" spans="1:8">
      <c r="A55">
        <f t="shared" si="0"/>
        <v>51</v>
      </c>
      <c r="B55">
        <v>38808</v>
      </c>
      <c r="C55">
        <v>1310.6099999999999</v>
      </c>
      <c r="D55">
        <v>1307.5</v>
      </c>
      <c r="F55">
        <v>1310.6099999999999</v>
      </c>
      <c r="G55" s="28">
        <v>1</v>
      </c>
      <c r="H55">
        <v>1307.5</v>
      </c>
    </row>
    <row r="56" spans="1:8">
      <c r="A56">
        <f t="shared" si="0"/>
        <v>52</v>
      </c>
      <c r="B56">
        <v>38838</v>
      </c>
      <c r="C56">
        <v>1270.0899999999999</v>
      </c>
      <c r="D56">
        <v>1318.4</v>
      </c>
      <c r="F56">
        <v>1270.0899999999999</v>
      </c>
      <c r="G56" s="28">
        <v>1</v>
      </c>
      <c r="H56">
        <v>1318.4</v>
      </c>
    </row>
    <row r="57" spans="1:8">
      <c r="A57">
        <f t="shared" si="0"/>
        <v>53</v>
      </c>
      <c r="B57">
        <v>38869</v>
      </c>
      <c r="C57">
        <v>1270.2</v>
      </c>
      <c r="D57">
        <v>1286.5</v>
      </c>
      <c r="F57">
        <v>1270.2</v>
      </c>
      <c r="G57" s="28">
        <v>1</v>
      </c>
      <c r="H57">
        <v>1286.5</v>
      </c>
    </row>
    <row r="58" spans="1:8">
      <c r="A58">
        <f t="shared" si="0"/>
        <v>54</v>
      </c>
      <c r="B58">
        <v>38899</v>
      </c>
      <c r="C58">
        <v>1276.6600000000001</v>
      </c>
      <c r="D58">
        <v>1282</v>
      </c>
      <c r="F58">
        <v>1276.6600000000001</v>
      </c>
      <c r="G58" s="28">
        <v>1</v>
      </c>
      <c r="H58">
        <v>1282</v>
      </c>
    </row>
    <row r="59" spans="1:8">
      <c r="A59">
        <f t="shared" si="0"/>
        <v>55</v>
      </c>
      <c r="B59">
        <v>38930</v>
      </c>
      <c r="C59">
        <v>1303.82</v>
      </c>
      <c r="D59">
        <v>1275.5</v>
      </c>
      <c r="F59">
        <v>1303.82</v>
      </c>
      <c r="G59" s="28">
        <v>1</v>
      </c>
      <c r="H59">
        <v>1275.5</v>
      </c>
    </row>
    <row r="60" spans="1:8">
      <c r="A60">
        <f t="shared" si="0"/>
        <v>56</v>
      </c>
      <c r="B60">
        <v>38961</v>
      </c>
      <c r="C60">
        <v>1335.85</v>
      </c>
      <c r="D60">
        <v>1312.8</v>
      </c>
      <c r="F60">
        <v>1335.85</v>
      </c>
      <c r="G60" s="28">
        <v>1</v>
      </c>
      <c r="H60">
        <v>1312.8</v>
      </c>
    </row>
    <row r="61" spans="1:8">
      <c r="A61">
        <f t="shared" si="0"/>
        <v>57</v>
      </c>
      <c r="B61">
        <v>38991</v>
      </c>
      <c r="C61">
        <v>1377.94</v>
      </c>
      <c r="D61">
        <v>1340.8</v>
      </c>
      <c r="F61">
        <v>1377.94</v>
      </c>
      <c r="G61" s="28">
        <v>1</v>
      </c>
      <c r="H61">
        <v>1340.8</v>
      </c>
    </row>
    <row r="62" spans="1:8">
      <c r="A62">
        <f t="shared" si="0"/>
        <v>58</v>
      </c>
      <c r="B62">
        <v>39022</v>
      </c>
      <c r="C62">
        <v>1400.63</v>
      </c>
      <c r="D62">
        <v>1373</v>
      </c>
      <c r="F62">
        <v>1400.63</v>
      </c>
      <c r="G62" s="28">
        <v>1</v>
      </c>
      <c r="H62">
        <v>1373</v>
      </c>
    </row>
    <row r="63" spans="1:8">
      <c r="A63">
        <f t="shared" si="0"/>
        <v>59</v>
      </c>
      <c r="B63">
        <v>39052</v>
      </c>
      <c r="C63">
        <v>1418.3</v>
      </c>
      <c r="D63">
        <v>1398.4</v>
      </c>
      <c r="F63">
        <v>1418.3</v>
      </c>
      <c r="G63" s="28">
        <v>1</v>
      </c>
      <c r="H63">
        <v>1398.4</v>
      </c>
    </row>
    <row r="64" spans="1:8">
      <c r="A64">
        <f t="shared" si="0"/>
        <v>60</v>
      </c>
      <c r="B64">
        <v>39083</v>
      </c>
      <c r="C64">
        <v>1438.24</v>
      </c>
      <c r="D64">
        <v>1437.6</v>
      </c>
      <c r="F64">
        <v>1438.24</v>
      </c>
      <c r="G64" s="28">
        <v>1</v>
      </c>
      <c r="H64">
        <v>1437.6</v>
      </c>
    </row>
    <row r="65" spans="1:8">
      <c r="A65">
        <f t="shared" si="0"/>
        <v>61</v>
      </c>
      <c r="B65">
        <v>39114</v>
      </c>
      <c r="C65">
        <v>1406.82</v>
      </c>
      <c r="D65">
        <v>1450.7</v>
      </c>
      <c r="F65">
        <v>1406.82</v>
      </c>
      <c r="G65" s="28">
        <v>1</v>
      </c>
      <c r="H65">
        <v>1450.7</v>
      </c>
    </row>
    <row r="66" spans="1:8">
      <c r="A66">
        <f t="shared" si="0"/>
        <v>62</v>
      </c>
      <c r="B66">
        <v>39142</v>
      </c>
      <c r="C66">
        <v>1420.86</v>
      </c>
      <c r="D66">
        <v>1404.9</v>
      </c>
      <c r="F66">
        <v>1420.86</v>
      </c>
      <c r="G66" s="28">
        <v>1</v>
      </c>
      <c r="H66">
        <v>1404.9</v>
      </c>
    </row>
    <row r="67" spans="1:8">
      <c r="A67">
        <f t="shared" si="0"/>
        <v>63</v>
      </c>
      <c r="B67">
        <v>39173</v>
      </c>
      <c r="C67">
        <v>1482.37</v>
      </c>
      <c r="D67">
        <v>1434.7</v>
      </c>
      <c r="F67">
        <v>1482.37</v>
      </c>
      <c r="G67" s="28">
        <v>1</v>
      </c>
      <c r="H67">
        <v>1434.7</v>
      </c>
    </row>
    <row r="68" spans="1:8">
      <c r="A68">
        <f t="shared" si="0"/>
        <v>64</v>
      </c>
      <c r="B68">
        <v>39203</v>
      </c>
      <c r="C68">
        <v>1530.62</v>
      </c>
      <c r="D68">
        <v>1501.7</v>
      </c>
      <c r="F68">
        <v>1530.62</v>
      </c>
      <c r="G68" s="28">
        <v>1</v>
      </c>
      <c r="H68">
        <v>1501.7</v>
      </c>
    </row>
    <row r="69" spans="1:8">
      <c r="A69">
        <f t="shared" si="0"/>
        <v>65</v>
      </c>
      <c r="B69">
        <v>39234</v>
      </c>
      <c r="C69">
        <v>1503.35</v>
      </c>
      <c r="D69">
        <v>1540.7</v>
      </c>
      <c r="F69">
        <v>1503.35</v>
      </c>
      <c r="G69" s="28">
        <v>1</v>
      </c>
      <c r="H69">
        <v>1540.7</v>
      </c>
    </row>
    <row r="70" spans="1:8">
      <c r="A70">
        <f t="shared" si="0"/>
        <v>66</v>
      </c>
      <c r="B70">
        <v>39264</v>
      </c>
      <c r="C70">
        <v>1455.27</v>
      </c>
      <c r="D70">
        <v>1531.5</v>
      </c>
      <c r="F70">
        <v>1455.27</v>
      </c>
      <c r="G70" s="28">
        <v>1</v>
      </c>
      <c r="H70">
        <v>1531.5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4:Z71"/>
  <sheetViews>
    <sheetView workbookViewId="0">
      <selection activeCell="B4" sqref="B4:Q71"/>
    </sheetView>
  </sheetViews>
  <sheetFormatPr defaultRowHeight="15"/>
  <cols>
    <col min="5" max="5" width="0" hidden="1" customWidth="1"/>
    <col min="6" max="6" width="12.7109375" hidden="1" customWidth="1"/>
    <col min="7" max="8" width="8" customWidth="1"/>
    <col min="9" max="9" width="10.140625" customWidth="1"/>
    <col min="11" max="11" width="12.7109375" bestFit="1" customWidth="1"/>
    <col min="22" max="22" width="13.42578125" bestFit="1" customWidth="1"/>
  </cols>
  <sheetData>
    <row r="4" spans="2:26">
      <c r="C4" s="37" t="s">
        <v>47</v>
      </c>
      <c r="D4" s="37" t="s">
        <v>48</v>
      </c>
      <c r="E4" s="46" t="s">
        <v>99</v>
      </c>
      <c r="F4" s="37" t="s">
        <v>101</v>
      </c>
      <c r="G4" s="37"/>
      <c r="H4" s="46" t="s">
        <v>99</v>
      </c>
      <c r="I4" s="37" t="s">
        <v>92</v>
      </c>
      <c r="J4" s="37" t="s">
        <v>101</v>
      </c>
      <c r="K4" s="37" t="s">
        <v>100</v>
      </c>
      <c r="L4" s="37" t="s">
        <v>103</v>
      </c>
      <c r="M4" s="37" t="s">
        <v>104</v>
      </c>
      <c r="N4" s="37" t="s">
        <v>105</v>
      </c>
      <c r="O4" s="37" t="s">
        <v>106</v>
      </c>
      <c r="P4" s="37" t="s">
        <v>107</v>
      </c>
      <c r="Q4" s="37" t="s">
        <v>108</v>
      </c>
      <c r="R4" s="37"/>
      <c r="S4" s="37"/>
      <c r="T4" s="37"/>
    </row>
    <row r="5" spans="2:26">
      <c r="B5">
        <v>1</v>
      </c>
      <c r="C5">
        <v>1106.73</v>
      </c>
      <c r="D5">
        <v>1130.2</v>
      </c>
      <c r="E5" t="e">
        <f t="shared" ref="E5" si="0">100*(LN(C5)-LN(C4))</f>
        <v>#VALUE!</v>
      </c>
      <c r="F5" t="e">
        <f t="shared" ref="F5:F68" si="1">100*(LN(D5)-LN(D4))</f>
        <v>#VALUE!</v>
      </c>
      <c r="I5" s="28"/>
    </row>
    <row r="6" spans="2:26">
      <c r="B6">
        <f>B5+1</f>
        <v>2</v>
      </c>
      <c r="C6">
        <v>1147.3900000000001</v>
      </c>
      <c r="D6">
        <v>1119.5</v>
      </c>
      <c r="E6">
        <f>100*(LN(C6)-LN(C5))</f>
        <v>3.6080076252758886</v>
      </c>
      <c r="F6">
        <f t="shared" si="1"/>
        <v>-0.95124511569339987</v>
      </c>
      <c r="H6">
        <f>E6</f>
        <v>3.6080076252758886</v>
      </c>
      <c r="I6" s="28">
        <v>1</v>
      </c>
      <c r="J6">
        <f>F6</f>
        <v>-0.95124511569339987</v>
      </c>
      <c r="K6">
        <f t="shared" ref="K6:K37" si="2">X$18+X$19*J6</f>
        <v>0.24548102887124429</v>
      </c>
      <c r="L6">
        <f>H6-K6</f>
        <v>3.3625265964046442</v>
      </c>
      <c r="M6">
        <f>L6*J6</f>
        <v>-3.19858700121907</v>
      </c>
      <c r="N6">
        <f>L6*K6</f>
        <v>0.82543648849233531</v>
      </c>
      <c r="O6">
        <f t="shared" ref="O6:O37" si="3">(K6-X$21)^2</f>
        <v>3.0878091581614111E-2</v>
      </c>
      <c r="P6">
        <f t="shared" ref="P6:P37" si="4">(H6-X$21)^2</f>
        <v>10.155725887884714</v>
      </c>
      <c r="Q6">
        <f>L6^2</f>
        <v>11.306585111528602</v>
      </c>
    </row>
    <row r="7" spans="2:26">
      <c r="B7">
        <f t="shared" ref="B7:B70" si="5">B6+1</f>
        <v>3</v>
      </c>
      <c r="C7">
        <v>1076.92</v>
      </c>
      <c r="D7">
        <v>1144</v>
      </c>
      <c r="E7">
        <f t="shared" ref="E7:E69" si="6">100*(LN(C7)-LN(C6))</f>
        <v>-6.3384682784414004</v>
      </c>
      <c r="F7">
        <f t="shared" si="1"/>
        <v>2.1648735900933858</v>
      </c>
      <c r="H7">
        <f t="shared" ref="H7:H69" si="7">E7</f>
        <v>-6.3384682784414004</v>
      </c>
      <c r="I7" s="28">
        <v>1</v>
      </c>
      <c r="J7">
        <f t="shared" ref="J7:J69" si="8">F7</f>
        <v>2.1648735900933858</v>
      </c>
      <c r="K7">
        <f t="shared" si="2"/>
        <v>0.63144359204317291</v>
      </c>
      <c r="L7">
        <f t="shared" ref="L7:L70" si="9">H7-K7</f>
        <v>-6.9699118704845731</v>
      </c>
      <c r="M7">
        <f t="shared" ref="M7:M70" si="10">L7*J7</f>
        <v>-15.088978133690443</v>
      </c>
      <c r="N7">
        <f t="shared" ref="N7:N70" si="11">L7*K7</f>
        <v>-4.401106187723129</v>
      </c>
      <c r="O7">
        <f t="shared" si="3"/>
        <v>4.4201249584074724E-2</v>
      </c>
      <c r="P7">
        <f t="shared" si="4"/>
        <v>45.693151193511262</v>
      </c>
      <c r="Q7">
        <f t="shared" ref="Q7:Q70" si="12">L7^2</f>
        <v>48.579671482321757</v>
      </c>
    </row>
    <row r="8" spans="2:26">
      <c r="B8">
        <f t="shared" si="5"/>
        <v>4</v>
      </c>
      <c r="C8">
        <v>1067.1400000000001</v>
      </c>
      <c r="D8">
        <v>1052.8</v>
      </c>
      <c r="E8">
        <f t="shared" si="6"/>
        <v>-0.91229422971252916</v>
      </c>
      <c r="F8">
        <f t="shared" si="1"/>
        <v>-8.3077611368690185</v>
      </c>
      <c r="H8">
        <f t="shared" si="7"/>
        <v>-0.91229422971252916</v>
      </c>
      <c r="I8" s="28">
        <v>1</v>
      </c>
      <c r="J8">
        <f t="shared" si="8"/>
        <v>-8.3077611368690185</v>
      </c>
      <c r="K8">
        <f t="shared" si="2"/>
        <v>-0.66569728223593727</v>
      </c>
      <c r="L8">
        <f t="shared" si="9"/>
        <v>-0.24659694747659189</v>
      </c>
      <c r="M8">
        <f t="shared" si="10"/>
        <v>2.0486685367165607</v>
      </c>
      <c r="N8">
        <f t="shared" si="11"/>
        <v>0.16415891774284538</v>
      </c>
      <c r="O8">
        <f t="shared" si="3"/>
        <v>1.1813514840308295</v>
      </c>
      <c r="P8">
        <f t="shared" si="4"/>
        <v>1.7782139543802071</v>
      </c>
      <c r="Q8">
        <f t="shared" si="12"/>
        <v>6.0810054504773017E-2</v>
      </c>
      <c r="W8" s="38" t="s">
        <v>93</v>
      </c>
      <c r="X8" s="40">
        <f t="array" ref="X8:Y9">MMULT(TRANSPOSE(I6:J70),I6:J70)</f>
        <v>65</v>
      </c>
      <c r="Y8" s="41">
        <v>30.385303907708661</v>
      </c>
      <c r="Z8" s="35"/>
    </row>
    <row r="9" spans="2:26">
      <c r="B9">
        <f t="shared" si="5"/>
        <v>5</v>
      </c>
      <c r="C9">
        <v>989.82</v>
      </c>
      <c r="D9">
        <v>1056.5</v>
      </c>
      <c r="E9">
        <f t="shared" si="6"/>
        <v>-7.5214343275906259</v>
      </c>
      <c r="F9">
        <f t="shared" si="1"/>
        <v>0.35082764850580261</v>
      </c>
      <c r="H9">
        <f t="shared" si="7"/>
        <v>-7.5214343275906259</v>
      </c>
      <c r="I9" s="28">
        <v>1</v>
      </c>
      <c r="J9">
        <f t="shared" si="8"/>
        <v>0.35082764850580261</v>
      </c>
      <c r="K9">
        <f t="shared" si="2"/>
        <v>0.40675580334418715</v>
      </c>
      <c r="L9">
        <f t="shared" si="9"/>
        <v>-7.9281901309348131</v>
      </c>
      <c r="M9">
        <f t="shared" si="10"/>
        <v>-2.781428300542772</v>
      </c>
      <c r="N9">
        <f t="shared" si="11"/>
        <v>-3.2248373457738464</v>
      </c>
      <c r="O9">
        <f t="shared" si="3"/>
        <v>2.0871166189489587E-4</v>
      </c>
      <c r="P9">
        <f t="shared" si="4"/>
        <v>63.085482313707558</v>
      </c>
      <c r="Q9">
        <f t="shared" si="12"/>
        <v>62.856198752252169</v>
      </c>
      <c r="W9" s="38"/>
      <c r="X9" s="40">
        <v>30.385303907708661</v>
      </c>
      <c r="Y9" s="41">
        <v>717.0582704452122</v>
      </c>
    </row>
    <row r="10" spans="2:26">
      <c r="B10">
        <f t="shared" si="5"/>
        <v>6</v>
      </c>
      <c r="C10">
        <v>911.62</v>
      </c>
      <c r="D10">
        <v>969.3</v>
      </c>
      <c r="E10">
        <f t="shared" si="6"/>
        <v>-8.2299871837899552</v>
      </c>
      <c r="F10">
        <f t="shared" si="1"/>
        <v>-8.6142675557549175</v>
      </c>
      <c r="H10">
        <f t="shared" si="7"/>
        <v>-8.2299871837899552</v>
      </c>
      <c r="I10" s="28">
        <v>1</v>
      </c>
      <c r="J10">
        <f t="shared" si="8"/>
        <v>-8.6142675557549175</v>
      </c>
      <c r="K10">
        <f t="shared" si="2"/>
        <v>-0.7036611771421748</v>
      </c>
      <c r="L10">
        <f t="shared" si="9"/>
        <v>-7.5263260066477802</v>
      </c>
      <c r="M10">
        <f t="shared" si="10"/>
        <v>64.833785933100444</v>
      </c>
      <c r="N10">
        <f t="shared" si="11"/>
        <v>5.2959834173935407</v>
      </c>
      <c r="O10">
        <f t="shared" si="3"/>
        <v>1.2653186516945336</v>
      </c>
      <c r="P10">
        <f t="shared" si="4"/>
        <v>74.843085710097498</v>
      </c>
      <c r="Q10">
        <f t="shared" si="12"/>
        <v>56.645583158342724</v>
      </c>
      <c r="W10" s="38"/>
    </row>
    <row r="11" spans="2:26" ht="17.25">
      <c r="B11">
        <f t="shared" si="5"/>
        <v>7</v>
      </c>
      <c r="C11">
        <v>916.07</v>
      </c>
      <c r="D11">
        <v>889</v>
      </c>
      <c r="E11">
        <f t="shared" si="6"/>
        <v>0.48695443903161717</v>
      </c>
      <c r="F11">
        <f t="shared" si="1"/>
        <v>-8.6476925984657171</v>
      </c>
      <c r="H11">
        <f t="shared" si="7"/>
        <v>0.48695443903161717</v>
      </c>
      <c r="I11" s="28">
        <v>1</v>
      </c>
      <c r="J11">
        <f t="shared" si="8"/>
        <v>-8.6476925984657171</v>
      </c>
      <c r="K11">
        <f t="shared" si="2"/>
        <v>-0.70780120400791446</v>
      </c>
      <c r="L11">
        <f t="shared" si="9"/>
        <v>1.1947556430395316</v>
      </c>
      <c r="M11">
        <f t="shared" si="10"/>
        <v>-10.331879531288106</v>
      </c>
      <c r="N11">
        <f t="shared" si="11"/>
        <v>-0.8456494826386306</v>
      </c>
      <c r="O11">
        <f t="shared" si="3"/>
        <v>1.2746497245275881</v>
      </c>
      <c r="P11">
        <f t="shared" si="4"/>
        <v>4.3232964701206003E-3</v>
      </c>
      <c r="Q11">
        <f t="shared" si="12"/>
        <v>1.4274410465748046</v>
      </c>
      <c r="W11" s="38" t="s">
        <v>94</v>
      </c>
      <c r="X11" s="40">
        <f t="array" ref="X11:Y12">MINVERSE(X8:Y9)</f>
        <v>1.569552577159648E-2</v>
      </c>
      <c r="Y11" s="41">
        <v>-6.6509702240115473E-4</v>
      </c>
    </row>
    <row r="12" spans="2:26">
      <c r="B12">
        <f t="shared" si="5"/>
        <v>8</v>
      </c>
      <c r="C12">
        <v>815.28</v>
      </c>
      <c r="D12">
        <v>908.5</v>
      </c>
      <c r="E12">
        <f t="shared" si="6"/>
        <v>-11.656116844786713</v>
      </c>
      <c r="F12">
        <f t="shared" si="1"/>
        <v>2.1697652322321126</v>
      </c>
      <c r="H12">
        <f t="shared" si="7"/>
        <v>-11.656116844786713</v>
      </c>
      <c r="I12" s="28">
        <v>1</v>
      </c>
      <c r="J12">
        <f t="shared" si="8"/>
        <v>2.1697652322321126</v>
      </c>
      <c r="K12">
        <f t="shared" si="2"/>
        <v>0.63204947099588304</v>
      </c>
      <c r="L12">
        <f t="shared" si="9"/>
        <v>-12.288166315782595</v>
      </c>
      <c r="M12">
        <f t="shared" si="10"/>
        <v>-26.662436039870848</v>
      </c>
      <c r="N12">
        <f t="shared" si="11"/>
        <v>-7.7667290193998184</v>
      </c>
      <c r="O12">
        <f t="shared" si="3"/>
        <v>4.4456377785050204E-2</v>
      </c>
      <c r="P12">
        <f t="shared" si="4"/>
        <v>145.8616464162385</v>
      </c>
      <c r="Q12">
        <f t="shared" si="12"/>
        <v>150.999031404334</v>
      </c>
      <c r="X12" s="40">
        <v>-6.6509702240115473E-4</v>
      </c>
      <c r="Y12" s="41">
        <v>1.4227702506245923E-3</v>
      </c>
    </row>
    <row r="13" spans="2:26">
      <c r="B13">
        <f t="shared" si="5"/>
        <v>9</v>
      </c>
      <c r="C13">
        <v>885.76</v>
      </c>
      <c r="D13">
        <v>847.5</v>
      </c>
      <c r="E13">
        <f t="shared" si="6"/>
        <v>8.2914421028757346</v>
      </c>
      <c r="F13">
        <f t="shared" si="1"/>
        <v>-6.9504048581620737</v>
      </c>
      <c r="H13">
        <f t="shared" si="7"/>
        <v>8.2914421028757346</v>
      </c>
      <c r="I13" s="28">
        <v>1</v>
      </c>
      <c r="J13">
        <f t="shared" si="8"/>
        <v>-6.9504048581620737</v>
      </c>
      <c r="K13">
        <f t="shared" si="2"/>
        <v>-0.49757508987710447</v>
      </c>
      <c r="L13">
        <f t="shared" si="9"/>
        <v>8.7890171927528389</v>
      </c>
      <c r="M13">
        <f t="shared" si="10"/>
        <v>-61.08722779497932</v>
      </c>
      <c r="N13">
        <f t="shared" si="11"/>
        <v>-4.3731960196154098</v>
      </c>
      <c r="O13">
        <f t="shared" si="3"/>
        <v>0.84415255332970907</v>
      </c>
      <c r="P13">
        <f t="shared" si="4"/>
        <v>61.940668891105332</v>
      </c>
      <c r="Q13">
        <f t="shared" si="12"/>
        <v>77.246823214505</v>
      </c>
    </row>
    <row r="14" spans="2:26">
      <c r="B14">
        <f t="shared" si="5"/>
        <v>10</v>
      </c>
      <c r="C14">
        <v>936.31</v>
      </c>
      <c r="D14">
        <v>901.5</v>
      </c>
      <c r="E14">
        <f t="shared" si="6"/>
        <v>5.5500584676112297</v>
      </c>
      <c r="F14">
        <f t="shared" si="1"/>
        <v>6.1769203388767124</v>
      </c>
      <c r="H14">
        <f t="shared" si="7"/>
        <v>5.5500584676112297</v>
      </c>
      <c r="I14" s="28">
        <v>1</v>
      </c>
      <c r="J14">
        <f t="shared" si="8"/>
        <v>6.1769203388767124</v>
      </c>
      <c r="K14">
        <f t="shared" si="2"/>
        <v>1.1283758314506047</v>
      </c>
      <c r="L14">
        <f t="shared" si="9"/>
        <v>4.4216826361606252</v>
      </c>
      <c r="M14">
        <f t="shared" si="10"/>
        <v>27.312381407358565</v>
      </c>
      <c r="N14">
        <f t="shared" si="11"/>
        <v>4.9893198209884471</v>
      </c>
      <c r="O14">
        <f t="shared" si="3"/>
        <v>0.50009389468083598</v>
      </c>
      <c r="P14">
        <f t="shared" si="4"/>
        <v>26.305161897162765</v>
      </c>
      <c r="Q14">
        <f t="shared" si="12"/>
        <v>19.551277334924375</v>
      </c>
      <c r="W14" s="38" t="s">
        <v>95</v>
      </c>
      <c r="X14" s="42">
        <f t="array" ref="X14:X15">MMULT(TRANSPOSE(I6:J70),H6:H70)</f>
        <v>27.378172887989912</v>
      </c>
    </row>
    <row r="15" spans="2:26">
      <c r="B15">
        <f t="shared" si="5"/>
        <v>11</v>
      </c>
      <c r="C15">
        <v>879.82</v>
      </c>
      <c r="D15">
        <v>932.2</v>
      </c>
      <c r="E15">
        <f t="shared" si="6"/>
        <v>-6.2229277129874916</v>
      </c>
      <c r="F15">
        <f t="shared" si="1"/>
        <v>3.3487341295268536</v>
      </c>
      <c r="H15">
        <f t="shared" si="7"/>
        <v>-6.2229277129874916</v>
      </c>
      <c r="I15" s="28">
        <v>1</v>
      </c>
      <c r="J15">
        <f t="shared" si="8"/>
        <v>3.3487341295268536</v>
      </c>
      <c r="K15">
        <f t="shared" si="2"/>
        <v>0.77807659655269612</v>
      </c>
      <c r="L15">
        <f t="shared" si="9"/>
        <v>-7.0010043095401873</v>
      </c>
      <c r="M15">
        <f t="shared" si="10"/>
        <v>-23.444502072321811</v>
      </c>
      <c r="N15">
        <f t="shared" si="11"/>
        <v>-5.447317605617787</v>
      </c>
      <c r="O15">
        <f t="shared" si="3"/>
        <v>0.12735900672249739</v>
      </c>
      <c r="P15">
        <f t="shared" si="4"/>
        <v>44.144468410799618</v>
      </c>
      <c r="Q15">
        <f t="shared" si="12"/>
        <v>49.014061342200272</v>
      </c>
      <c r="X15" s="42">
        <v>99.853910624774215</v>
      </c>
    </row>
    <row r="16" spans="2:26">
      <c r="B16">
        <f t="shared" si="5"/>
        <v>12</v>
      </c>
      <c r="C16">
        <v>855.7</v>
      </c>
      <c r="D16">
        <v>879.9</v>
      </c>
      <c r="E16">
        <f t="shared" si="6"/>
        <v>-2.7797493671423368</v>
      </c>
      <c r="F16">
        <f t="shared" si="1"/>
        <v>-5.7739119287125718</v>
      </c>
      <c r="H16">
        <f t="shared" si="7"/>
        <v>-2.7797493671423368</v>
      </c>
      <c r="I16" s="28">
        <v>1</v>
      </c>
      <c r="J16">
        <f t="shared" si="8"/>
        <v>-5.7739119287125718</v>
      </c>
      <c r="K16">
        <f t="shared" si="2"/>
        <v>-0.3518546377772766</v>
      </c>
      <c r="L16">
        <f t="shared" si="9"/>
        <v>-2.4278947293650601</v>
      </c>
      <c r="M16">
        <f t="shared" si="10"/>
        <v>14.018450339539301</v>
      </c>
      <c r="N16">
        <f t="shared" si="11"/>
        <v>0.85426602056210221</v>
      </c>
      <c r="O16">
        <f t="shared" si="3"/>
        <v>0.59761758536102849</v>
      </c>
      <c r="P16">
        <f t="shared" si="4"/>
        <v>10.24609387888375</v>
      </c>
      <c r="Q16">
        <f t="shared" si="12"/>
        <v>5.8946728168786384</v>
      </c>
    </row>
    <row r="17" spans="2:24">
      <c r="B17">
        <f t="shared" si="5"/>
        <v>13</v>
      </c>
      <c r="C17">
        <v>841.15</v>
      </c>
      <c r="D17">
        <v>857</v>
      </c>
      <c r="E17">
        <f t="shared" si="6"/>
        <v>-1.7149844258839586</v>
      </c>
      <c r="F17">
        <f t="shared" si="1"/>
        <v>-2.6370346053735005</v>
      </c>
      <c r="H17">
        <f t="shared" si="7"/>
        <v>-1.7149844258839586</v>
      </c>
      <c r="I17" s="28">
        <v>1</v>
      </c>
      <c r="J17">
        <f t="shared" si="8"/>
        <v>-2.6370346053735005</v>
      </c>
      <c r="K17">
        <f t="shared" si="2"/>
        <v>3.6679088432666929E-2</v>
      </c>
      <c r="L17">
        <f t="shared" si="9"/>
        <v>-1.7516635143166255</v>
      </c>
      <c r="M17">
        <f t="shared" si="10"/>
        <v>4.6191973042231016</v>
      </c>
      <c r="N17">
        <f t="shared" si="11"/>
        <v>-6.4249420945895641E-2</v>
      </c>
      <c r="O17">
        <f t="shared" si="3"/>
        <v>0.14785837694880063</v>
      </c>
      <c r="P17">
        <f t="shared" si="4"/>
        <v>4.563295265107989</v>
      </c>
      <c r="Q17">
        <f t="shared" si="12"/>
        <v>3.0683250673880709</v>
      </c>
    </row>
    <row r="18" spans="2:24">
      <c r="B18">
        <f t="shared" si="5"/>
        <v>14</v>
      </c>
      <c r="C18">
        <v>848.18</v>
      </c>
      <c r="D18">
        <v>844.4</v>
      </c>
      <c r="E18">
        <f t="shared" si="6"/>
        <v>0.83228742528289601</v>
      </c>
      <c r="F18">
        <f t="shared" si="1"/>
        <v>-1.4811602623614029</v>
      </c>
      <c r="H18">
        <f t="shared" si="7"/>
        <v>0.83228742528289601</v>
      </c>
      <c r="I18" s="28">
        <v>1</v>
      </c>
      <c r="J18">
        <f t="shared" si="8"/>
        <v>-1.4811602623614029</v>
      </c>
      <c r="K18">
        <f t="shared" si="2"/>
        <v>0.17984572175287505</v>
      </c>
      <c r="L18">
        <f t="shared" si="9"/>
        <v>0.65244170353002096</v>
      </c>
      <c r="M18">
        <f t="shared" si="10"/>
        <v>-0.96637072477604646</v>
      </c>
      <c r="N18">
        <f t="shared" si="11"/>
        <v>0.11733884907303195</v>
      </c>
      <c r="O18">
        <f t="shared" si="3"/>
        <v>5.8253171550835162E-2</v>
      </c>
      <c r="P18">
        <f t="shared" si="4"/>
        <v>0.16899068439960643</v>
      </c>
      <c r="Q18">
        <f t="shared" si="12"/>
        <v>0.42568017650515577</v>
      </c>
      <c r="W18" s="39" t="s">
        <v>96</v>
      </c>
      <c r="X18" s="42">
        <f t="array" ref="X18:X19">MMULT(X11:Y12,X14:X15)</f>
        <v>0.36330227951102129</v>
      </c>
    </row>
    <row r="19" spans="2:24">
      <c r="B19">
        <f t="shared" si="5"/>
        <v>15</v>
      </c>
      <c r="C19">
        <v>916.92</v>
      </c>
      <c r="D19">
        <v>856.2</v>
      </c>
      <c r="E19">
        <f t="shared" si="6"/>
        <v>7.792735002947726</v>
      </c>
      <c r="F19">
        <f t="shared" si="1"/>
        <v>1.3877677736680027</v>
      </c>
      <c r="H19">
        <f t="shared" si="7"/>
        <v>7.792735002947726</v>
      </c>
      <c r="I19" s="28">
        <v>1</v>
      </c>
      <c r="J19">
        <f t="shared" si="8"/>
        <v>1.3877677736680027</v>
      </c>
      <c r="K19">
        <f t="shared" si="2"/>
        <v>0.5351912406143382</v>
      </c>
      <c r="L19">
        <f t="shared" si="9"/>
        <v>7.2575437623333876</v>
      </c>
      <c r="M19">
        <f t="shared" si="10"/>
        <v>10.071785349351506</v>
      </c>
      <c r="N19">
        <f t="shared" si="11"/>
        <v>3.8841738499760572</v>
      </c>
      <c r="O19">
        <f t="shared" si="3"/>
        <v>1.2993396552594952E-2</v>
      </c>
      <c r="P19">
        <f t="shared" si="4"/>
        <v>54.339489085848477</v>
      </c>
      <c r="Q19">
        <f t="shared" si="12"/>
        <v>52.671941462184265</v>
      </c>
      <c r="X19" s="42">
        <v>0.12386003217886955</v>
      </c>
    </row>
    <row r="20" spans="2:24">
      <c r="B20">
        <f t="shared" si="5"/>
        <v>16</v>
      </c>
      <c r="C20">
        <v>963.59</v>
      </c>
      <c r="D20">
        <v>915.2</v>
      </c>
      <c r="E20">
        <f t="shared" si="6"/>
        <v>4.9645665489287616</v>
      </c>
      <c r="F20">
        <f t="shared" si="1"/>
        <v>6.6638626914687471</v>
      </c>
      <c r="H20">
        <f t="shared" si="7"/>
        <v>4.9645665489287616</v>
      </c>
      <c r="I20" s="28">
        <v>1</v>
      </c>
      <c r="J20">
        <f t="shared" si="8"/>
        <v>6.6638626914687471</v>
      </c>
      <c r="K20">
        <f t="shared" si="2"/>
        <v>1.1886885269119085</v>
      </c>
      <c r="L20">
        <f t="shared" si="9"/>
        <v>3.7758780220168529</v>
      </c>
      <c r="M20">
        <f t="shared" si="10"/>
        <v>25.161932678454914</v>
      </c>
      <c r="N20">
        <f t="shared" si="11"/>
        <v>4.4883428837902635</v>
      </c>
      <c r="O20">
        <f t="shared" si="3"/>
        <v>0.58903455619314138</v>
      </c>
      <c r="P20">
        <f t="shared" si="4"/>
        <v>20.642155428900843</v>
      </c>
      <c r="Q20">
        <f t="shared" si="12"/>
        <v>14.257254837149901</v>
      </c>
    </row>
    <row r="21" spans="2:24">
      <c r="B21">
        <f t="shared" si="5"/>
        <v>17</v>
      </c>
      <c r="C21">
        <v>974.5</v>
      </c>
      <c r="D21">
        <v>966.5</v>
      </c>
      <c r="E21">
        <f t="shared" si="6"/>
        <v>1.1258626010851813</v>
      </c>
      <c r="F21">
        <f t="shared" si="1"/>
        <v>5.4538678022852061</v>
      </c>
      <c r="H21">
        <f t="shared" si="7"/>
        <v>1.1258626010851813</v>
      </c>
      <c r="I21" s="28">
        <v>1</v>
      </c>
      <c r="J21">
        <f t="shared" si="8"/>
        <v>5.4538678022852061</v>
      </c>
      <c r="K21">
        <f t="shared" si="2"/>
        <v>1.0388185210013674</v>
      </c>
      <c r="L21">
        <f t="shared" si="9"/>
        <v>8.7044080083813924E-2</v>
      </c>
      <c r="M21">
        <f t="shared" si="10"/>
        <v>0.47472690574864773</v>
      </c>
      <c r="N21">
        <f t="shared" si="11"/>
        <v>9.0423002534592165E-2</v>
      </c>
      <c r="O21">
        <f t="shared" si="3"/>
        <v>0.38144935198869484</v>
      </c>
      <c r="P21">
        <f t="shared" si="4"/>
        <v>0.49654563283057207</v>
      </c>
      <c r="Q21">
        <f t="shared" si="12"/>
        <v>7.5766718776374116E-3</v>
      </c>
      <c r="W21" s="38" t="s">
        <v>102</v>
      </c>
      <c r="X21">
        <f>AVERAGE(H6:H70)</f>
        <v>0.42120265981522942</v>
      </c>
    </row>
    <row r="22" spans="2:24">
      <c r="B22">
        <f t="shared" si="5"/>
        <v>18</v>
      </c>
      <c r="C22">
        <v>990.31</v>
      </c>
      <c r="D22">
        <v>981</v>
      </c>
      <c r="E22">
        <f t="shared" si="6"/>
        <v>1.6093506478774167</v>
      </c>
      <c r="F22">
        <f t="shared" si="1"/>
        <v>1.4891160916977952</v>
      </c>
      <c r="H22">
        <f t="shared" si="7"/>
        <v>1.6093506478774167</v>
      </c>
      <c r="I22" s="28">
        <v>1</v>
      </c>
      <c r="J22">
        <f t="shared" si="8"/>
        <v>1.4891160916977952</v>
      </c>
      <c r="K22">
        <f t="shared" si="2"/>
        <v>0.54774424654678266</v>
      </c>
      <c r="L22">
        <f t="shared" si="9"/>
        <v>1.0616064013306339</v>
      </c>
      <c r="M22">
        <f t="shared" si="10"/>
        <v>1.5808551752708346</v>
      </c>
      <c r="N22">
        <f t="shared" si="11"/>
        <v>0.58148879842608947</v>
      </c>
      <c r="O22">
        <f t="shared" si="3"/>
        <v>1.6012773172539213E-2</v>
      </c>
      <c r="P22">
        <f t="shared" si="4"/>
        <v>1.4116956415362234</v>
      </c>
      <c r="Q22">
        <f t="shared" si="12"/>
        <v>1.1270081513461789</v>
      </c>
    </row>
    <row r="23" spans="2:24">
      <c r="B23">
        <f t="shared" si="5"/>
        <v>19</v>
      </c>
      <c r="C23">
        <v>1008.01</v>
      </c>
      <c r="D23">
        <v>978.7</v>
      </c>
      <c r="E23">
        <f t="shared" si="6"/>
        <v>1.7715343790635885</v>
      </c>
      <c r="F23">
        <f t="shared" si="1"/>
        <v>-0.23472991335893312</v>
      </c>
      <c r="H23">
        <f t="shared" si="7"/>
        <v>1.7715343790635885</v>
      </c>
      <c r="I23" s="28">
        <v>1</v>
      </c>
      <c r="J23">
        <f t="shared" si="8"/>
        <v>-0.23472991335893312</v>
      </c>
      <c r="K23">
        <f t="shared" si="2"/>
        <v>0.33422862488904059</v>
      </c>
      <c r="L23">
        <f t="shared" si="9"/>
        <v>1.437305754174548</v>
      </c>
      <c r="M23">
        <f t="shared" si="10"/>
        <v>-0.33737865514768767</v>
      </c>
      <c r="N23">
        <f t="shared" si="11"/>
        <v>0.48038872576286457</v>
      </c>
      <c r="O23">
        <f t="shared" si="3"/>
        <v>7.564482751341914E-3</v>
      </c>
      <c r="P23">
        <f t="shared" si="4"/>
        <v>1.8233957520082291</v>
      </c>
      <c r="Q23">
        <f t="shared" si="12"/>
        <v>2.065847830983266</v>
      </c>
    </row>
    <row r="24" spans="2:24">
      <c r="B24">
        <f t="shared" si="5"/>
        <v>20</v>
      </c>
      <c r="C24">
        <v>995.97</v>
      </c>
      <c r="D24">
        <v>1012.3</v>
      </c>
      <c r="E24">
        <f t="shared" si="6"/>
        <v>-1.2016232567985341</v>
      </c>
      <c r="F24">
        <f t="shared" si="1"/>
        <v>3.3755088172932268</v>
      </c>
      <c r="H24">
        <f t="shared" si="7"/>
        <v>-1.2016232567985341</v>
      </c>
      <c r="I24" s="28">
        <v>1</v>
      </c>
      <c r="J24">
        <f t="shared" si="8"/>
        <v>3.3755088172932268</v>
      </c>
      <c r="K24">
        <f t="shared" si="2"/>
        <v>0.7813929102410182</v>
      </c>
      <c r="L24">
        <f t="shared" si="9"/>
        <v>-1.9830161670395523</v>
      </c>
      <c r="M24">
        <f t="shared" si="10"/>
        <v>-6.693688556677027</v>
      </c>
      <c r="N24">
        <f t="shared" si="11"/>
        <v>-1.5495147738180248</v>
      </c>
      <c r="O24">
        <f t="shared" si="3"/>
        <v>0.12973701650179242</v>
      </c>
      <c r="P24">
        <f t="shared" si="4"/>
        <v>2.6335639556333019</v>
      </c>
      <c r="Q24">
        <f t="shared" si="12"/>
        <v>3.9323531187402376</v>
      </c>
    </row>
    <row r="25" spans="2:24">
      <c r="B25">
        <f t="shared" si="5"/>
        <v>21</v>
      </c>
      <c r="C25">
        <v>1050.71</v>
      </c>
      <c r="D25">
        <v>997.8</v>
      </c>
      <c r="E25">
        <f t="shared" si="6"/>
        <v>5.3504268464946492</v>
      </c>
      <c r="F25">
        <f t="shared" si="1"/>
        <v>-1.4427393177769865</v>
      </c>
      <c r="H25">
        <f t="shared" si="7"/>
        <v>5.3504268464946492</v>
      </c>
      <c r="I25" s="28">
        <v>1</v>
      </c>
      <c r="J25">
        <f t="shared" si="8"/>
        <v>-1.4427393177769865</v>
      </c>
      <c r="K25">
        <f t="shared" si="2"/>
        <v>0.18460454118544342</v>
      </c>
      <c r="L25">
        <f t="shared" si="9"/>
        <v>5.1658223053092058</v>
      </c>
      <c r="M25">
        <f t="shared" si="10"/>
        <v>-7.4529349485189433</v>
      </c>
      <c r="N25">
        <f t="shared" si="11"/>
        <v>0.95363425651713551</v>
      </c>
      <c r="O25">
        <f t="shared" si="3"/>
        <v>5.5978669739154288E-2</v>
      </c>
      <c r="P25">
        <f t="shared" si="4"/>
        <v>24.29725108254539</v>
      </c>
      <c r="Q25">
        <f t="shared" si="12"/>
        <v>26.685720090030117</v>
      </c>
    </row>
    <row r="26" spans="2:24">
      <c r="B26">
        <f t="shared" si="5"/>
        <v>22</v>
      </c>
      <c r="C26">
        <v>1058.2</v>
      </c>
      <c r="D26">
        <v>1047.5999999999999</v>
      </c>
      <c r="E26">
        <f t="shared" si="6"/>
        <v>0.71032253560447955</v>
      </c>
      <c r="F26">
        <f t="shared" si="1"/>
        <v>4.8704257206620305</v>
      </c>
      <c r="H26">
        <f t="shared" si="7"/>
        <v>0.71032253560447955</v>
      </c>
      <c r="I26" s="28">
        <v>1</v>
      </c>
      <c r="J26">
        <f t="shared" si="8"/>
        <v>4.8704257206620305</v>
      </c>
      <c r="K26">
        <f t="shared" si="2"/>
        <v>0.96655336599701425</v>
      </c>
      <c r="L26">
        <f t="shared" si="9"/>
        <v>-0.25623083039253469</v>
      </c>
      <c r="M26">
        <f t="shared" si="10"/>
        <v>-1.2479532267703912</v>
      </c>
      <c r="N26">
        <f t="shared" si="11"/>
        <v>-0.24766077158811448</v>
      </c>
      <c r="O26">
        <f t="shared" si="3"/>
        <v>0.2974073927329714</v>
      </c>
      <c r="P26">
        <f t="shared" si="4"/>
        <v>8.3590302576391426E-2</v>
      </c>
      <c r="Q26">
        <f t="shared" si="12"/>
        <v>6.5654238443647886E-2</v>
      </c>
    </row>
    <row r="27" spans="2:24">
      <c r="B27">
        <f t="shared" si="5"/>
        <v>23</v>
      </c>
      <c r="C27">
        <v>1111.92</v>
      </c>
      <c r="D27">
        <v>1069.2</v>
      </c>
      <c r="E27">
        <f t="shared" si="6"/>
        <v>4.951889930647102</v>
      </c>
      <c r="F27">
        <f t="shared" si="1"/>
        <v>2.0408871631206971</v>
      </c>
      <c r="H27">
        <f t="shared" si="7"/>
        <v>4.951889930647102</v>
      </c>
      <c r="I27" s="28">
        <v>1</v>
      </c>
      <c r="J27">
        <f t="shared" si="8"/>
        <v>2.0408871631206971</v>
      </c>
      <c r="K27">
        <f t="shared" si="2"/>
        <v>0.6160866292085927</v>
      </c>
      <c r="L27">
        <f t="shared" si="9"/>
        <v>4.3358033014385091</v>
      </c>
      <c r="M27">
        <f t="shared" si="10"/>
        <v>8.8488852997221912</v>
      </c>
      <c r="N27">
        <f t="shared" si="11"/>
        <v>2.6712304408947389</v>
      </c>
      <c r="O27">
        <f t="shared" si="3"/>
        <v>3.7979761526513355E-2</v>
      </c>
      <c r="P27">
        <f t="shared" si="4"/>
        <v>20.527127146077966</v>
      </c>
      <c r="Q27">
        <f t="shared" si="12"/>
        <v>18.799190268765074</v>
      </c>
    </row>
    <row r="28" spans="2:24">
      <c r="B28">
        <f t="shared" si="5"/>
        <v>24</v>
      </c>
      <c r="C28">
        <v>1131.1300000000001</v>
      </c>
      <c r="D28">
        <v>1109.2</v>
      </c>
      <c r="E28">
        <f t="shared" si="6"/>
        <v>1.7128882262968048</v>
      </c>
      <c r="F28">
        <f t="shared" si="1"/>
        <v>3.6728329476859223</v>
      </c>
      <c r="H28">
        <f t="shared" si="7"/>
        <v>1.7128882262968048</v>
      </c>
      <c r="I28" s="28">
        <v>1</v>
      </c>
      <c r="J28">
        <f t="shared" si="8"/>
        <v>3.6728329476859223</v>
      </c>
      <c r="K28">
        <f t="shared" si="2"/>
        <v>0.818219486599012</v>
      </c>
      <c r="L28">
        <f t="shared" si="9"/>
        <v>0.89466873969779281</v>
      </c>
      <c r="M28">
        <f t="shared" si="10"/>
        <v>3.2859688244266936</v>
      </c>
      <c r="N28">
        <f t="shared" si="11"/>
        <v>0.73203539687171315</v>
      </c>
      <c r="O28">
        <f t="shared" si="3"/>
        <v>0.15762236074946404</v>
      </c>
      <c r="P28">
        <f t="shared" si="4"/>
        <v>1.6684516026568283</v>
      </c>
      <c r="Q28">
        <f t="shared" si="12"/>
        <v>0.80043215379243693</v>
      </c>
    </row>
    <row r="29" spans="2:24">
      <c r="B29">
        <f t="shared" si="5"/>
        <v>25</v>
      </c>
      <c r="C29">
        <v>1144.94</v>
      </c>
      <c r="D29">
        <v>1133.9000000000001</v>
      </c>
      <c r="E29">
        <f t="shared" si="6"/>
        <v>1.2135100829125278</v>
      </c>
      <c r="F29">
        <f t="shared" si="1"/>
        <v>2.2023983236171496</v>
      </c>
      <c r="H29">
        <f t="shared" si="7"/>
        <v>1.2135100829125278</v>
      </c>
      <c r="I29" s="28">
        <v>1</v>
      </c>
      <c r="J29">
        <f t="shared" si="8"/>
        <v>2.2023983236171496</v>
      </c>
      <c r="K29">
        <f t="shared" si="2"/>
        <v>0.63609140674492981</v>
      </c>
      <c r="L29">
        <f t="shared" si="9"/>
        <v>0.57741867616759801</v>
      </c>
      <c r="M29">
        <f t="shared" si="10"/>
        <v>1.2717059244167517</v>
      </c>
      <c r="N29">
        <f t="shared" si="11"/>
        <v>0.3672910580042425</v>
      </c>
      <c r="O29">
        <f t="shared" si="3"/>
        <v>4.6177173557016817E-2</v>
      </c>
      <c r="P29">
        <f t="shared" si="4"/>
        <v>0.62775105269508147</v>
      </c>
      <c r="Q29">
        <f t="shared" si="12"/>
        <v>0.3334123275871414</v>
      </c>
    </row>
    <row r="30" spans="2:24">
      <c r="B30">
        <f t="shared" si="5"/>
        <v>26</v>
      </c>
      <c r="C30">
        <v>1126.21</v>
      </c>
      <c r="D30">
        <v>1155.7</v>
      </c>
      <c r="E30">
        <f t="shared" si="6"/>
        <v>-1.6494220669988735</v>
      </c>
      <c r="F30">
        <f t="shared" si="1"/>
        <v>1.9043203003601405</v>
      </c>
      <c r="H30">
        <f t="shared" si="7"/>
        <v>-1.6494220669988735</v>
      </c>
      <c r="I30" s="28">
        <v>1</v>
      </c>
      <c r="J30">
        <f t="shared" si="8"/>
        <v>1.9043203003601405</v>
      </c>
      <c r="K30">
        <f t="shared" si="2"/>
        <v>0.59917145319250287</v>
      </c>
      <c r="L30">
        <f t="shared" si="9"/>
        <v>-2.2485935201913763</v>
      </c>
      <c r="M30">
        <f t="shared" si="10"/>
        <v>-4.2820422877587072</v>
      </c>
      <c r="N30">
        <f t="shared" si="11"/>
        <v>-1.3472930471323123</v>
      </c>
      <c r="O30">
        <f t="shared" si="3"/>
        <v>3.1672891416162648E-2</v>
      </c>
      <c r="P30">
        <f t="shared" si="4"/>
        <v>4.2874867592939774</v>
      </c>
      <c r="Q30">
        <f t="shared" si="12"/>
        <v>5.0561728190466448</v>
      </c>
    </row>
    <row r="31" spans="2:24">
      <c r="B31">
        <f t="shared" si="5"/>
        <v>27</v>
      </c>
      <c r="C31">
        <v>1107.3</v>
      </c>
      <c r="D31">
        <v>1130.3</v>
      </c>
      <c r="E31">
        <f t="shared" si="6"/>
        <v>-1.6933393494544369</v>
      </c>
      <c r="F31">
        <f t="shared" si="1"/>
        <v>-2.2223136784710107</v>
      </c>
      <c r="H31">
        <f t="shared" si="7"/>
        <v>-1.6933393494544369</v>
      </c>
      <c r="I31" s="28">
        <v>1</v>
      </c>
      <c r="J31">
        <f t="shared" si="8"/>
        <v>-2.2223136784710107</v>
      </c>
      <c r="K31">
        <f t="shared" si="2"/>
        <v>8.8046435784059962E-2</v>
      </c>
      <c r="L31">
        <f t="shared" si="9"/>
        <v>-1.7813857852384969</v>
      </c>
      <c r="M31">
        <f t="shared" si="10"/>
        <v>3.9587979971693339</v>
      </c>
      <c r="N31">
        <f t="shared" si="11"/>
        <v>-0.15684466914663855</v>
      </c>
      <c r="O31">
        <f t="shared" si="3"/>
        <v>0.11099306961070678</v>
      </c>
      <c r="P31">
        <f t="shared" si="4"/>
        <v>4.4712879089661968</v>
      </c>
      <c r="Q31">
        <f t="shared" si="12"/>
        <v>3.1733353158497764</v>
      </c>
    </row>
    <row r="32" spans="2:24">
      <c r="B32">
        <f t="shared" si="5"/>
        <v>28</v>
      </c>
      <c r="C32">
        <v>1120.68</v>
      </c>
      <c r="D32">
        <v>1105</v>
      </c>
      <c r="E32">
        <f t="shared" si="6"/>
        <v>1.2011024205563992</v>
      </c>
      <c r="F32">
        <f t="shared" si="1"/>
        <v>-2.2637749244832861</v>
      </c>
      <c r="H32">
        <f t="shared" si="7"/>
        <v>1.2011024205563992</v>
      </c>
      <c r="I32" s="28">
        <v>1</v>
      </c>
      <c r="J32">
        <f t="shared" si="8"/>
        <v>-2.2637749244832861</v>
      </c>
      <c r="K32">
        <f t="shared" si="2"/>
        <v>8.2911044518803489E-2</v>
      </c>
      <c r="L32">
        <f t="shared" si="9"/>
        <v>1.1181913760375957</v>
      </c>
      <c r="M32">
        <f t="shared" si="10"/>
        <v>-2.5313335978473699</v>
      </c>
      <c r="N32">
        <f t="shared" si="11"/>
        <v>9.2710414959195228E-2</v>
      </c>
      <c r="O32">
        <f t="shared" si="3"/>
        <v>0.11444121697986503</v>
      </c>
      <c r="P32">
        <f t="shared" si="4"/>
        <v>0.60824363680413385</v>
      </c>
      <c r="Q32">
        <f t="shared" si="12"/>
        <v>1.2503519534448517</v>
      </c>
    </row>
    <row r="33" spans="2:17">
      <c r="B33">
        <f t="shared" si="5"/>
        <v>29</v>
      </c>
      <c r="C33">
        <v>1140.8399999999999</v>
      </c>
      <c r="D33">
        <v>1120.9000000000001</v>
      </c>
      <c r="E33">
        <f t="shared" si="6"/>
        <v>1.7829189249312982</v>
      </c>
      <c r="F33">
        <f t="shared" si="1"/>
        <v>1.4286599075196804</v>
      </c>
      <c r="H33">
        <f t="shared" si="7"/>
        <v>1.7829189249312982</v>
      </c>
      <c r="I33" s="28">
        <v>1</v>
      </c>
      <c r="J33">
        <f t="shared" si="8"/>
        <v>1.4286599075196804</v>
      </c>
      <c r="K33">
        <f t="shared" si="2"/>
        <v>0.54025614162906965</v>
      </c>
      <c r="L33">
        <f t="shared" si="9"/>
        <v>1.2426627833022286</v>
      </c>
      <c r="M33">
        <f t="shared" si="10"/>
        <v>1.7753424970707106</v>
      </c>
      <c r="N33">
        <f t="shared" si="11"/>
        <v>0.67135620065290269</v>
      </c>
      <c r="O33">
        <f t="shared" si="3"/>
        <v>1.4173731531998386E-2</v>
      </c>
      <c r="P33">
        <f t="shared" si="4"/>
        <v>1.8542711866816557</v>
      </c>
      <c r="Q33">
        <f t="shared" si="12"/>
        <v>1.5442107930044415</v>
      </c>
    </row>
    <row r="34" spans="2:17">
      <c r="B34">
        <f t="shared" si="5"/>
        <v>30</v>
      </c>
      <c r="C34">
        <v>1101.72</v>
      </c>
      <c r="D34">
        <v>1129</v>
      </c>
      <c r="E34">
        <f t="shared" si="6"/>
        <v>-3.4892238215330273</v>
      </c>
      <c r="F34">
        <f t="shared" si="1"/>
        <v>0.72003511226119699</v>
      </c>
      <c r="H34">
        <f t="shared" si="7"/>
        <v>-3.4892238215330273</v>
      </c>
      <c r="I34" s="28">
        <v>1</v>
      </c>
      <c r="J34">
        <f t="shared" si="8"/>
        <v>0.72003511226119699</v>
      </c>
      <c r="K34">
        <f t="shared" si="2"/>
        <v>0.45248585168560906</v>
      </c>
      <c r="L34">
        <f t="shared" si="9"/>
        <v>-3.9417096732186363</v>
      </c>
      <c r="M34">
        <f t="shared" si="10"/>
        <v>-2.8381693670570267</v>
      </c>
      <c r="N34">
        <f t="shared" si="11"/>
        <v>-1.7835678585837385</v>
      </c>
      <c r="O34">
        <f t="shared" si="3"/>
        <v>9.7863809359898706E-4</v>
      </c>
      <c r="P34">
        <f t="shared" si="4"/>
        <v>15.291435266029707</v>
      </c>
      <c r="Q34">
        <f t="shared" si="12"/>
        <v>15.537075147945368</v>
      </c>
    </row>
    <row r="35" spans="2:17">
      <c r="B35">
        <f t="shared" si="5"/>
        <v>31</v>
      </c>
      <c r="C35">
        <v>1104.24</v>
      </c>
      <c r="D35">
        <v>1105.5999999999999</v>
      </c>
      <c r="E35">
        <f t="shared" si="6"/>
        <v>0.22847205717138053</v>
      </c>
      <c r="F35">
        <f t="shared" si="1"/>
        <v>-2.0944111136256716</v>
      </c>
      <c r="H35">
        <f t="shared" si="7"/>
        <v>0.22847205717138053</v>
      </c>
      <c r="I35" s="28">
        <v>1</v>
      </c>
      <c r="J35">
        <f t="shared" si="8"/>
        <v>-2.0944111136256716</v>
      </c>
      <c r="K35">
        <f t="shared" si="2"/>
        <v>0.10388845158156357</v>
      </c>
      <c r="L35">
        <f t="shared" si="9"/>
        <v>0.12458360558981696</v>
      </c>
      <c r="M35">
        <f t="shared" si="10"/>
        <v>-0.26092928812286997</v>
      </c>
      <c r="N35">
        <f t="shared" si="11"/>
        <v>1.2942797877174311E-2</v>
      </c>
      <c r="O35">
        <f t="shared" si="3"/>
        <v>0.10068830674695825</v>
      </c>
      <c r="P35">
        <f t="shared" si="4"/>
        <v>3.7145085195461176E-2</v>
      </c>
      <c r="Q35">
        <f t="shared" si="12"/>
        <v>1.5521074781759072E-2</v>
      </c>
    </row>
    <row r="36" spans="2:17">
      <c r="B36">
        <f t="shared" si="5"/>
        <v>32</v>
      </c>
      <c r="C36">
        <v>1114.58</v>
      </c>
      <c r="D36">
        <v>1106</v>
      </c>
      <c r="E36">
        <f t="shared" si="6"/>
        <v>0.93203368022063415</v>
      </c>
      <c r="F36">
        <f t="shared" si="1"/>
        <v>3.6172906887532719E-2</v>
      </c>
      <c r="H36">
        <f t="shared" si="7"/>
        <v>0.93203368022063415</v>
      </c>
      <c r="I36" s="28">
        <v>1</v>
      </c>
      <c r="J36">
        <f t="shared" si="8"/>
        <v>3.6172906887532719E-2</v>
      </c>
      <c r="K36">
        <f t="shared" si="2"/>
        <v>0.36778265692211431</v>
      </c>
      <c r="L36">
        <f t="shared" si="9"/>
        <v>0.56425102329851984</v>
      </c>
      <c r="M36">
        <f t="shared" si="10"/>
        <v>2.0410599726972414E-2</v>
      </c>
      <c r="N36">
        <f t="shared" si="11"/>
        <v>0.20752174051975145</v>
      </c>
      <c r="O36">
        <f t="shared" si="3"/>
        <v>2.8536967091004261E-3</v>
      </c>
      <c r="P36">
        <f t="shared" si="4"/>
        <v>0.26094833140842705</v>
      </c>
      <c r="Q36">
        <f t="shared" si="12"/>
        <v>0.31837921729342678</v>
      </c>
    </row>
    <row r="37" spans="2:17">
      <c r="B37">
        <f t="shared" si="5"/>
        <v>33</v>
      </c>
      <c r="C37">
        <v>1130.2</v>
      </c>
      <c r="D37">
        <v>1132</v>
      </c>
      <c r="E37">
        <f t="shared" si="6"/>
        <v>1.3916955878213955</v>
      </c>
      <c r="F37">
        <f t="shared" si="1"/>
        <v>2.323607668084815</v>
      </c>
      <c r="H37">
        <f t="shared" si="7"/>
        <v>1.3916955878213955</v>
      </c>
      <c r="I37" s="28">
        <v>1</v>
      </c>
      <c r="J37">
        <f t="shared" si="8"/>
        <v>2.323607668084815</v>
      </c>
      <c r="K37">
        <f t="shared" si="2"/>
        <v>0.65110440005107451</v>
      </c>
      <c r="L37">
        <f t="shared" si="9"/>
        <v>0.74059118777032096</v>
      </c>
      <c r="M37">
        <f t="shared" si="10"/>
        <v>1.7208433628191588</v>
      </c>
      <c r="N37">
        <f t="shared" si="11"/>
        <v>0.48220218099630752</v>
      </c>
      <c r="O37">
        <f t="shared" si="3"/>
        <v>5.285481016346999E-2</v>
      </c>
      <c r="P37">
        <f t="shared" si="4"/>
        <v>0.94185652330998137</v>
      </c>
      <c r="Q37">
        <f t="shared" si="12"/>
        <v>0.54847530740305483</v>
      </c>
    </row>
    <row r="38" spans="2:17">
      <c r="B38">
        <f t="shared" si="5"/>
        <v>34</v>
      </c>
      <c r="C38">
        <v>1173.82</v>
      </c>
      <c r="D38">
        <v>1130.5</v>
      </c>
      <c r="E38">
        <f t="shared" si="6"/>
        <v>3.786877946113254</v>
      </c>
      <c r="F38">
        <f t="shared" si="1"/>
        <v>-0.13259670451040151</v>
      </c>
      <c r="H38">
        <f t="shared" si="7"/>
        <v>3.786877946113254</v>
      </c>
      <c r="I38" s="28">
        <v>1</v>
      </c>
      <c r="J38">
        <f t="shared" si="8"/>
        <v>-0.13259670451040151</v>
      </c>
      <c r="K38">
        <f t="shared" ref="K38:K69" si="13">X$18+X$19*J38</f>
        <v>0.34687884742355091</v>
      </c>
      <c r="L38">
        <f t="shared" si="9"/>
        <v>3.4399990986897029</v>
      </c>
      <c r="M38">
        <f t="shared" si="10"/>
        <v>-0.45613254400500602</v>
      </c>
      <c r="N38">
        <f t="shared" si="11"/>
        <v>1.1932629224915381</v>
      </c>
      <c r="O38">
        <f t="shared" ref="O38:O70" si="14">(K38-X$21)^2</f>
        <v>5.5240290884334244E-3</v>
      </c>
      <c r="P38">
        <f t="shared" ref="P38:P70" si="15">(H38-X$21)^2</f>
        <v>11.327770132797291</v>
      </c>
      <c r="Q38">
        <f t="shared" si="12"/>
        <v>11.833593798985968</v>
      </c>
    </row>
    <row r="39" spans="2:17">
      <c r="B39">
        <f t="shared" si="5"/>
        <v>35</v>
      </c>
      <c r="C39">
        <v>1211.92</v>
      </c>
      <c r="D39">
        <v>1191.5</v>
      </c>
      <c r="E39">
        <f t="shared" si="6"/>
        <v>3.1942491193192701</v>
      </c>
      <c r="F39">
        <f t="shared" si="1"/>
        <v>5.2553004820772742</v>
      </c>
      <c r="H39">
        <f t="shared" si="7"/>
        <v>3.1942491193192701</v>
      </c>
      <c r="I39" s="28">
        <v>1</v>
      </c>
      <c r="J39">
        <f t="shared" si="8"/>
        <v>5.2553004820772742</v>
      </c>
      <c r="K39">
        <f t="shared" si="13"/>
        <v>1.0142239663307411</v>
      </c>
      <c r="L39">
        <f t="shared" si="9"/>
        <v>2.1800251529885291</v>
      </c>
      <c r="M39">
        <f t="shared" si="10"/>
        <v>11.4566872374412</v>
      </c>
      <c r="N39">
        <f t="shared" si="11"/>
        <v>2.2110337573648065</v>
      </c>
      <c r="O39">
        <f t="shared" si="14"/>
        <v>0.35167426998136442</v>
      </c>
      <c r="P39">
        <f t="shared" si="15"/>
        <v>7.6897866665678967</v>
      </c>
      <c r="Q39">
        <f t="shared" si="12"/>
        <v>4.7525096676626593</v>
      </c>
    </row>
    <row r="40" spans="2:17">
      <c r="B40">
        <f t="shared" si="5"/>
        <v>36</v>
      </c>
      <c r="C40">
        <v>1181.27</v>
      </c>
      <c r="D40">
        <v>1211.3</v>
      </c>
      <c r="E40">
        <f t="shared" si="6"/>
        <v>-2.5615747968516622</v>
      </c>
      <c r="F40">
        <f t="shared" si="1"/>
        <v>1.6481145483958848</v>
      </c>
      <c r="H40">
        <f t="shared" si="7"/>
        <v>-2.5615747968516622</v>
      </c>
      <c r="I40" s="28">
        <v>1</v>
      </c>
      <c r="J40">
        <f t="shared" si="8"/>
        <v>1.6481145483958848</v>
      </c>
      <c r="K40">
        <f t="shared" si="13"/>
        <v>0.56743780050979864</v>
      </c>
      <c r="L40">
        <f t="shared" si="9"/>
        <v>-3.1290125973614611</v>
      </c>
      <c r="M40">
        <f t="shared" si="10"/>
        <v>-5.1569711838254193</v>
      </c>
      <c r="N40">
        <f t="shared" si="11"/>
        <v>-1.7755200260142396</v>
      </c>
      <c r="O40">
        <f t="shared" si="14"/>
        <v>2.1384716373960454E-2</v>
      </c>
      <c r="P40">
        <f t="shared" si="15"/>
        <v>8.8969613560002099</v>
      </c>
      <c r="Q40">
        <f t="shared" si="12"/>
        <v>9.7907198344467172</v>
      </c>
    </row>
    <row r="41" spans="2:17">
      <c r="B41">
        <f t="shared" si="5"/>
        <v>37</v>
      </c>
      <c r="C41">
        <v>1203.5999999999999</v>
      </c>
      <c r="D41">
        <v>1189</v>
      </c>
      <c r="E41">
        <f t="shared" si="6"/>
        <v>1.8726934874337964</v>
      </c>
      <c r="F41">
        <f t="shared" si="1"/>
        <v>-1.8581545331974425</v>
      </c>
      <c r="H41">
        <f t="shared" si="7"/>
        <v>1.8726934874337964</v>
      </c>
      <c r="I41" s="28">
        <v>1</v>
      </c>
      <c r="J41">
        <f t="shared" si="8"/>
        <v>-1.8581545331974425</v>
      </c>
      <c r="K41">
        <f t="shared" si="13"/>
        <v>0.13315119923587374</v>
      </c>
      <c r="L41">
        <f t="shared" si="9"/>
        <v>1.7395422881979226</v>
      </c>
      <c r="M41">
        <f t="shared" si="10"/>
        <v>-3.2323383885036217</v>
      </c>
      <c r="N41">
        <f t="shared" si="11"/>
        <v>0.23162214179506926</v>
      </c>
      <c r="O41">
        <f t="shared" si="14"/>
        <v>8.2973643941900113E-2</v>
      </c>
      <c r="P41">
        <f t="shared" si="15"/>
        <v>2.1068256226608324</v>
      </c>
      <c r="Q41">
        <f t="shared" si="12"/>
        <v>3.0260073724288641</v>
      </c>
    </row>
    <row r="42" spans="2:17">
      <c r="B42">
        <f t="shared" si="5"/>
        <v>38</v>
      </c>
      <c r="C42">
        <v>1180.5899999999999</v>
      </c>
      <c r="D42">
        <v>1211.2</v>
      </c>
      <c r="E42">
        <f t="shared" si="6"/>
        <v>-1.9302752254528599</v>
      </c>
      <c r="F42">
        <f t="shared" si="1"/>
        <v>1.8498985992402517</v>
      </c>
      <c r="H42">
        <f t="shared" si="7"/>
        <v>-1.9302752254528599</v>
      </c>
      <c r="I42" s="28">
        <v>1</v>
      </c>
      <c r="J42">
        <f t="shared" si="8"/>
        <v>1.8498985992402517</v>
      </c>
      <c r="K42">
        <f t="shared" si="13"/>
        <v>0.59243077954056456</v>
      </c>
      <c r="L42">
        <f t="shared" si="9"/>
        <v>-2.5227060049934247</v>
      </c>
      <c r="M42">
        <f t="shared" si="10"/>
        <v>-4.6667503049323074</v>
      </c>
      <c r="N42">
        <f t="shared" si="11"/>
        <v>-1.494528685089918</v>
      </c>
      <c r="O42">
        <f t="shared" si="14"/>
        <v>2.9319068984673704E-2</v>
      </c>
      <c r="P42">
        <f t="shared" si="15"/>
        <v>5.5294482449048843</v>
      </c>
      <c r="Q42">
        <f t="shared" si="12"/>
        <v>6.3640455876298851</v>
      </c>
    </row>
    <row r="43" spans="2:17">
      <c r="B43">
        <f t="shared" si="5"/>
        <v>39</v>
      </c>
      <c r="C43">
        <v>1156.8499999999999</v>
      </c>
      <c r="D43">
        <v>1173.5</v>
      </c>
      <c r="E43">
        <f t="shared" si="6"/>
        <v>-2.031351934767045</v>
      </c>
      <c r="F43">
        <f t="shared" si="1"/>
        <v>-3.16208673921059</v>
      </c>
      <c r="H43">
        <f t="shared" si="7"/>
        <v>-2.031351934767045</v>
      </c>
      <c r="I43" s="28">
        <v>1</v>
      </c>
      <c r="J43">
        <f t="shared" si="8"/>
        <v>-3.16208673921059</v>
      </c>
      <c r="K43">
        <f t="shared" si="13"/>
        <v>-2.8353885759979103E-2</v>
      </c>
      <c r="L43">
        <f t="shared" si="9"/>
        <v>-2.0029980490070658</v>
      </c>
      <c r="M43">
        <f t="shared" si="10"/>
        <v>6.3336535694299263</v>
      </c>
      <c r="N43">
        <f t="shared" si="11"/>
        <v>5.6792777859007368E-2</v>
      </c>
      <c r="O43">
        <f t="shared" si="14"/>
        <v>0.20210108766951454</v>
      </c>
      <c r="P43">
        <f t="shared" si="15"/>
        <v>6.0150240394066232</v>
      </c>
      <c r="Q43">
        <f t="shared" si="12"/>
        <v>4.0120011843261123</v>
      </c>
    </row>
    <row r="44" spans="2:17">
      <c r="B44">
        <f t="shared" si="5"/>
        <v>40</v>
      </c>
      <c r="C44">
        <v>1191.5</v>
      </c>
      <c r="D44">
        <v>1162.7</v>
      </c>
      <c r="E44">
        <f t="shared" si="6"/>
        <v>2.9512223385106395</v>
      </c>
      <c r="F44">
        <f t="shared" si="1"/>
        <v>-0.92458496165157555</v>
      </c>
      <c r="H44">
        <f t="shared" si="7"/>
        <v>2.9512223385106395</v>
      </c>
      <c r="I44" s="28">
        <v>1</v>
      </c>
      <c r="J44">
        <f t="shared" si="8"/>
        <v>-0.92458496165157555</v>
      </c>
      <c r="K44">
        <f t="shared" si="13"/>
        <v>0.24878315640875825</v>
      </c>
      <c r="L44">
        <f t="shared" si="9"/>
        <v>2.7024391821018812</v>
      </c>
      <c r="M44">
        <f t="shared" si="10"/>
        <v>-2.4986346275493831</v>
      </c>
      <c r="N44">
        <f t="shared" si="11"/>
        <v>0.67232134972600899</v>
      </c>
      <c r="O44">
        <f t="shared" si="14"/>
        <v>2.972848515493412E-2</v>
      </c>
      <c r="P44">
        <f t="shared" si="15"/>
        <v>6.4009995745860273</v>
      </c>
      <c r="Q44">
        <f t="shared" si="12"/>
        <v>7.3031775329594844</v>
      </c>
    </row>
    <row r="45" spans="2:17">
      <c r="B45">
        <f t="shared" si="5"/>
        <v>41</v>
      </c>
      <c r="C45">
        <v>1191.33</v>
      </c>
      <c r="D45">
        <v>1201.2</v>
      </c>
      <c r="E45">
        <f t="shared" si="6"/>
        <v>-1.4268747689882844E-2</v>
      </c>
      <c r="F45">
        <f t="shared" si="1"/>
        <v>3.2576170434612806</v>
      </c>
      <c r="H45">
        <f t="shared" si="7"/>
        <v>-1.4268747689882844E-2</v>
      </c>
      <c r="I45" s="28">
        <v>1</v>
      </c>
      <c r="J45">
        <f t="shared" si="8"/>
        <v>3.2576170434612806</v>
      </c>
      <c r="K45">
        <f t="shared" si="13"/>
        <v>0.76679083134056936</v>
      </c>
      <c r="L45">
        <f t="shared" si="9"/>
        <v>-0.7810595790304522</v>
      </c>
      <c r="M45">
        <f t="shared" si="10"/>
        <v>-2.5443929966082943</v>
      </c>
      <c r="N45">
        <f t="shared" si="11"/>
        <v>-0.59890932393127561</v>
      </c>
      <c r="O45">
        <f t="shared" si="14"/>
        <v>0.11943118429822777</v>
      </c>
      <c r="P45">
        <f t="shared" si="15"/>
        <v>0.18963534675448354</v>
      </c>
      <c r="Q45">
        <f t="shared" si="12"/>
        <v>0.61005406599522716</v>
      </c>
    </row>
    <row r="46" spans="2:17">
      <c r="B46">
        <f t="shared" si="5"/>
        <v>42</v>
      </c>
      <c r="C46">
        <v>1234.18</v>
      </c>
      <c r="D46">
        <v>1199.5</v>
      </c>
      <c r="E46">
        <f t="shared" si="6"/>
        <v>3.5336451864729668</v>
      </c>
      <c r="F46">
        <f t="shared" si="1"/>
        <v>-0.14162538294257843</v>
      </c>
      <c r="H46">
        <f t="shared" si="7"/>
        <v>3.5336451864729668</v>
      </c>
      <c r="I46" s="28">
        <v>1</v>
      </c>
      <c r="J46">
        <f t="shared" si="8"/>
        <v>-0.14162538294257843</v>
      </c>
      <c r="K46">
        <f t="shared" si="13"/>
        <v>0.34576055502240882</v>
      </c>
      <c r="L46">
        <f t="shared" si="9"/>
        <v>3.187884631450558</v>
      </c>
      <c r="M46">
        <f t="shared" si="10"/>
        <v>-0.45148538170594577</v>
      </c>
      <c r="N46">
        <f t="shared" si="11"/>
        <v>1.102244759517752</v>
      </c>
      <c r="O46">
        <f t="shared" si="14"/>
        <v>5.6915111755709248E-3</v>
      </c>
      <c r="P46">
        <f t="shared" si="15"/>
        <v>9.687298481747602</v>
      </c>
      <c r="Q46">
        <f t="shared" si="12"/>
        <v>10.162608423438661</v>
      </c>
    </row>
    <row r="47" spans="2:17">
      <c r="B47">
        <f t="shared" si="5"/>
        <v>43</v>
      </c>
      <c r="C47">
        <v>1220.33</v>
      </c>
      <c r="D47">
        <v>1237.2</v>
      </c>
      <c r="E47">
        <f t="shared" si="6"/>
        <v>-1.128546797235952</v>
      </c>
      <c r="F47">
        <f t="shared" si="1"/>
        <v>3.0945958531164663</v>
      </c>
      <c r="H47">
        <f t="shared" si="7"/>
        <v>-1.128546797235952</v>
      </c>
      <c r="I47" s="28">
        <v>1</v>
      </c>
      <c r="J47">
        <f t="shared" si="8"/>
        <v>3.0945958531164663</v>
      </c>
      <c r="K47">
        <f t="shared" si="13"/>
        <v>0.74659902145862311</v>
      </c>
      <c r="L47">
        <f t="shared" si="9"/>
        <v>-1.8751458186945751</v>
      </c>
      <c r="M47">
        <f t="shared" si="10"/>
        <v>-5.8028184745209135</v>
      </c>
      <c r="N47">
        <f t="shared" si="11"/>
        <v>-1.3999820333295985</v>
      </c>
      <c r="O47">
        <f t="shared" si="14"/>
        <v>0.10588279217075826</v>
      </c>
      <c r="P47">
        <f t="shared" si="15"/>
        <v>2.4017233796304316</v>
      </c>
      <c r="Q47">
        <f t="shared" si="12"/>
        <v>3.5161718413677483</v>
      </c>
    </row>
    <row r="48" spans="2:17">
      <c r="B48">
        <f t="shared" si="5"/>
        <v>44</v>
      </c>
      <c r="C48">
        <v>1228.81</v>
      </c>
      <c r="D48">
        <v>1222.8</v>
      </c>
      <c r="E48">
        <f t="shared" si="6"/>
        <v>0.69249074268586952</v>
      </c>
      <c r="F48">
        <f t="shared" si="1"/>
        <v>-1.1707450794235186</v>
      </c>
      <c r="H48">
        <f t="shared" si="7"/>
        <v>0.69249074268586952</v>
      </c>
      <c r="I48" s="28">
        <v>1</v>
      </c>
      <c r="J48">
        <f t="shared" si="8"/>
        <v>-1.1707450794235186</v>
      </c>
      <c r="K48">
        <f t="shared" si="13"/>
        <v>0.21829375630037109</v>
      </c>
      <c r="L48">
        <f t="shared" si="9"/>
        <v>0.47419698638549845</v>
      </c>
      <c r="M48">
        <f t="shared" si="10"/>
        <v>-0.55516378848828352</v>
      </c>
      <c r="N48">
        <f t="shared" si="11"/>
        <v>0.10351424138440639</v>
      </c>
      <c r="O48">
        <f t="shared" si="14"/>
        <v>4.1172023125602086E-2</v>
      </c>
      <c r="P48">
        <f t="shared" si="15"/>
        <v>7.3597223907627296E-2</v>
      </c>
      <c r="Q48">
        <f t="shared" si="12"/>
        <v>0.22486278189708861</v>
      </c>
    </row>
    <row r="49" spans="2:17">
      <c r="B49">
        <f t="shared" si="5"/>
        <v>45</v>
      </c>
      <c r="C49">
        <v>1207.01</v>
      </c>
      <c r="D49">
        <v>1235.5</v>
      </c>
      <c r="E49">
        <f t="shared" si="6"/>
        <v>-1.7899994313773426</v>
      </c>
      <c r="F49">
        <f t="shared" si="1"/>
        <v>1.0332435411985585</v>
      </c>
      <c r="H49">
        <f t="shared" si="7"/>
        <v>-1.7899994313773426</v>
      </c>
      <c r="I49" s="28">
        <v>1</v>
      </c>
      <c r="J49">
        <f t="shared" si="8"/>
        <v>1.0332435411985585</v>
      </c>
      <c r="K49">
        <f t="shared" si="13"/>
        <v>0.49127985777248384</v>
      </c>
      <c r="L49">
        <f t="shared" si="9"/>
        <v>-2.2812792891498264</v>
      </c>
      <c r="M49">
        <f t="shared" si="10"/>
        <v>-2.3571170911840968</v>
      </c>
      <c r="N49">
        <f t="shared" si="11"/>
        <v>-1.1207465647128398</v>
      </c>
      <c r="O49">
        <f t="shared" si="14"/>
        <v>4.9108136735402236E-3</v>
      </c>
      <c r="P49">
        <f t="shared" si="15"/>
        <v>4.8894146880944032</v>
      </c>
      <c r="Q49">
        <f t="shared" si="12"/>
        <v>5.2042351951039372</v>
      </c>
    </row>
    <row r="50" spans="2:17">
      <c r="B50">
        <f t="shared" si="5"/>
        <v>46</v>
      </c>
      <c r="C50">
        <v>1249.48</v>
      </c>
      <c r="D50">
        <v>1205</v>
      </c>
      <c r="E50">
        <f t="shared" si="6"/>
        <v>3.4581237676988508</v>
      </c>
      <c r="F50">
        <f t="shared" si="1"/>
        <v>-2.499617950390931</v>
      </c>
      <c r="H50">
        <f t="shared" si="7"/>
        <v>3.4581237676988508</v>
      </c>
      <c r="I50" s="28">
        <v>1</v>
      </c>
      <c r="J50">
        <f t="shared" si="8"/>
        <v>-2.499617950390931</v>
      </c>
      <c r="K50">
        <f t="shared" si="13"/>
        <v>5.3699519740720625E-2</v>
      </c>
      <c r="L50">
        <f t="shared" si="9"/>
        <v>3.4044242479581301</v>
      </c>
      <c r="M50">
        <f t="shared" si="10"/>
        <v>-8.5097599609422883</v>
      </c>
      <c r="N50">
        <f t="shared" si="11"/>
        <v>0.18281594710901558</v>
      </c>
      <c r="O50">
        <f t="shared" si="14"/>
        <v>0.13505855796462404</v>
      </c>
      <c r="P50">
        <f t="shared" si="15"/>
        <v>9.2228898155090828</v>
      </c>
      <c r="Q50">
        <f t="shared" si="12"/>
        <v>11.59010446008528</v>
      </c>
    </row>
    <row r="51" spans="2:17">
      <c r="B51">
        <f t="shared" si="5"/>
        <v>47</v>
      </c>
      <c r="C51">
        <v>1248.29</v>
      </c>
      <c r="D51">
        <v>1266.7</v>
      </c>
      <c r="E51">
        <f t="shared" si="6"/>
        <v>-9.5285001424105786E-2</v>
      </c>
      <c r="F51">
        <f t="shared" si="1"/>
        <v>4.9935526564831356</v>
      </c>
      <c r="H51">
        <f t="shared" si="7"/>
        <v>-9.5285001424105786E-2</v>
      </c>
      <c r="I51" s="28">
        <v>1</v>
      </c>
      <c r="J51">
        <f t="shared" si="8"/>
        <v>4.9935526564831356</v>
      </c>
      <c r="K51">
        <f t="shared" si="13"/>
        <v>0.98180387222990206</v>
      </c>
      <c r="L51">
        <f t="shared" si="9"/>
        <v>-1.0770888736540079</v>
      </c>
      <c r="M51">
        <f t="shared" si="10"/>
        <v>-5.3785000063033994</v>
      </c>
      <c r="N51">
        <f t="shared" si="11"/>
        <v>-1.0574900268892486</v>
      </c>
      <c r="O51">
        <f t="shared" si="14"/>
        <v>0.3142737193608009</v>
      </c>
      <c r="P51">
        <f t="shared" si="15"/>
        <v>0.26675950421247829</v>
      </c>
      <c r="Q51">
        <f t="shared" si="12"/>
        <v>1.1601204417492592</v>
      </c>
    </row>
    <row r="52" spans="2:17">
      <c r="B52">
        <f t="shared" si="5"/>
        <v>48</v>
      </c>
      <c r="C52">
        <v>1280.08</v>
      </c>
      <c r="D52">
        <v>1275.5</v>
      </c>
      <c r="E52">
        <f t="shared" si="6"/>
        <v>2.5147961230517879</v>
      </c>
      <c r="F52">
        <f t="shared" si="1"/>
        <v>0.69231650922798593</v>
      </c>
      <c r="H52">
        <f t="shared" si="7"/>
        <v>2.5147961230517879</v>
      </c>
      <c r="I52" s="28">
        <v>1</v>
      </c>
      <c r="J52">
        <f t="shared" si="8"/>
        <v>0.69231650922798593</v>
      </c>
      <c r="K52">
        <f t="shared" si="13"/>
        <v>0.44905262462196227</v>
      </c>
      <c r="L52">
        <f t="shared" si="9"/>
        <v>2.0657434984298257</v>
      </c>
      <c r="M52">
        <f t="shared" si="10"/>
        <v>1.4301483277933444</v>
      </c>
      <c r="N52">
        <f t="shared" si="11"/>
        <v>0.9276275397656677</v>
      </c>
      <c r="O52">
        <f t="shared" si="14"/>
        <v>7.7562053973625838E-4</v>
      </c>
      <c r="P52">
        <f t="shared" si="15"/>
        <v>4.3831335893068477</v>
      </c>
      <c r="Q52">
        <f t="shared" si="12"/>
        <v>4.2672962013050952</v>
      </c>
    </row>
    <row r="53" spans="2:17">
      <c r="B53">
        <f t="shared" si="5"/>
        <v>49</v>
      </c>
      <c r="C53">
        <v>1280.6600000000001</v>
      </c>
      <c r="D53">
        <v>1285.5</v>
      </c>
      <c r="E53">
        <f t="shared" si="6"/>
        <v>4.5299406415200139E-2</v>
      </c>
      <c r="F53">
        <f t="shared" si="1"/>
        <v>0.78094891240780839</v>
      </c>
      <c r="H53">
        <f t="shared" si="7"/>
        <v>4.5299406415200139E-2</v>
      </c>
      <c r="I53" s="28">
        <v>1</v>
      </c>
      <c r="J53">
        <f t="shared" si="8"/>
        <v>0.78094891240780839</v>
      </c>
      <c r="K53">
        <f t="shared" si="13"/>
        <v>0.4600306369319056</v>
      </c>
      <c r="L53">
        <f t="shared" si="9"/>
        <v>-0.41473123051670546</v>
      </c>
      <c r="M53">
        <f t="shared" si="10"/>
        <v>-0.3238839034135732</v>
      </c>
      <c r="N53">
        <f t="shared" si="11"/>
        <v>-0.19078907213015298</v>
      </c>
      <c r="O53">
        <f t="shared" si="14"/>
        <v>1.5076118069731292E-3</v>
      </c>
      <c r="P53">
        <f t="shared" si="15"/>
        <v>0.14130325591672663</v>
      </c>
      <c r="Q53">
        <f t="shared" si="12"/>
        <v>0.17200199356590068</v>
      </c>
    </row>
    <row r="54" spans="2:17">
      <c r="B54">
        <f t="shared" si="5"/>
        <v>50</v>
      </c>
      <c r="C54">
        <v>1294.8699999999999</v>
      </c>
      <c r="D54">
        <v>1292.5</v>
      </c>
      <c r="E54">
        <f t="shared" si="6"/>
        <v>1.1034733969458976</v>
      </c>
      <c r="F54">
        <f t="shared" si="1"/>
        <v>0.54305796766396242</v>
      </c>
      <c r="H54">
        <f t="shared" si="7"/>
        <v>1.1034733969458976</v>
      </c>
      <c r="I54" s="28">
        <v>1</v>
      </c>
      <c r="J54">
        <f t="shared" si="8"/>
        <v>0.54305796766396242</v>
      </c>
      <c r="K54">
        <f t="shared" si="13"/>
        <v>0.43056545686087117</v>
      </c>
      <c r="L54">
        <f t="shared" si="9"/>
        <v>0.67290794008502641</v>
      </c>
      <c r="M54">
        <f t="shared" si="10"/>
        <v>0.36542801836751782</v>
      </c>
      <c r="N54">
        <f t="shared" si="11"/>
        <v>0.28973091464801715</v>
      </c>
      <c r="O54">
        <f t="shared" si="14"/>
        <v>8.7661968517877809E-5</v>
      </c>
      <c r="P54">
        <f t="shared" si="15"/>
        <v>0.46549335874482539</v>
      </c>
      <c r="Q54">
        <f t="shared" si="12"/>
        <v>0.45280509582947348</v>
      </c>
    </row>
    <row r="55" spans="2:17">
      <c r="B55">
        <f t="shared" si="5"/>
        <v>51</v>
      </c>
      <c r="C55">
        <v>1310.6099999999999</v>
      </c>
      <c r="D55">
        <v>1307.5</v>
      </c>
      <c r="E55">
        <f t="shared" si="6"/>
        <v>1.2082373675144531</v>
      </c>
      <c r="F55">
        <f t="shared" si="1"/>
        <v>1.1538589556494117</v>
      </c>
      <c r="H55">
        <f t="shared" si="7"/>
        <v>1.2082373675144531</v>
      </c>
      <c r="I55" s="28">
        <v>1</v>
      </c>
      <c r="J55">
        <f t="shared" si="8"/>
        <v>1.1538589556494117</v>
      </c>
      <c r="K55">
        <f t="shared" si="13"/>
        <v>0.50621928688763429</v>
      </c>
      <c r="L55">
        <f t="shared" si="9"/>
        <v>0.70201808062681881</v>
      </c>
      <c r="M55">
        <f t="shared" si="10"/>
        <v>0.81002984935906563</v>
      </c>
      <c r="N55">
        <f t="shared" si="11"/>
        <v>0.35537509215713398</v>
      </c>
      <c r="O55">
        <f t="shared" si="14"/>
        <v>7.2278268787683651E-3</v>
      </c>
      <c r="P55">
        <f t="shared" si="15"/>
        <v>0.61942363112320242</v>
      </c>
      <c r="Q55">
        <f t="shared" si="12"/>
        <v>0.49282938552696265</v>
      </c>
    </row>
    <row r="56" spans="2:17">
      <c r="B56">
        <f t="shared" si="5"/>
        <v>52</v>
      </c>
      <c r="C56">
        <v>1270.0899999999999</v>
      </c>
      <c r="D56">
        <v>1318.4</v>
      </c>
      <c r="E56">
        <f t="shared" si="6"/>
        <v>-3.1404913585891592</v>
      </c>
      <c r="F56">
        <f t="shared" si="1"/>
        <v>0.83019632161294155</v>
      </c>
      <c r="H56">
        <f t="shared" si="7"/>
        <v>-3.1404913585891592</v>
      </c>
      <c r="I56" s="28">
        <v>1</v>
      </c>
      <c r="J56">
        <f t="shared" si="8"/>
        <v>0.83019632161294155</v>
      </c>
      <c r="K56">
        <f t="shared" si="13"/>
        <v>0.46613042262077936</v>
      </c>
      <c r="L56">
        <f t="shared" si="9"/>
        <v>-3.6066217812099386</v>
      </c>
      <c r="M56">
        <f t="shared" si="10"/>
        <v>-2.9942041362096061</v>
      </c>
      <c r="N56">
        <f t="shared" si="11"/>
        <v>-1.6811561351086968</v>
      </c>
      <c r="O56">
        <f t="shared" si="14"/>
        <v>2.0185038707117567E-3</v>
      </c>
      <c r="P56">
        <f t="shared" si="15"/>
        <v>12.685664280737599</v>
      </c>
      <c r="Q56">
        <f t="shared" si="12"/>
        <v>13.00772067269795</v>
      </c>
    </row>
    <row r="57" spans="2:17">
      <c r="B57">
        <f t="shared" si="5"/>
        <v>53</v>
      </c>
      <c r="C57">
        <v>1270.2</v>
      </c>
      <c r="D57">
        <v>1286.5</v>
      </c>
      <c r="E57">
        <f t="shared" si="6"/>
        <v>8.6604285391089775E-3</v>
      </c>
      <c r="F57">
        <f t="shared" si="1"/>
        <v>-2.4493527433408602</v>
      </c>
      <c r="H57">
        <f t="shared" si="7"/>
        <v>8.6604285391089775E-3</v>
      </c>
      <c r="I57" s="28">
        <v>1</v>
      </c>
      <c r="J57">
        <f t="shared" si="8"/>
        <v>-2.4493527433408602</v>
      </c>
      <c r="K57">
        <f t="shared" si="13"/>
        <v>5.9925369903419956E-2</v>
      </c>
      <c r="L57">
        <f t="shared" si="9"/>
        <v>-5.1264941364310979E-2</v>
      </c>
      <c r="M57">
        <f t="shared" si="10"/>
        <v>0.12556592476788345</v>
      </c>
      <c r="N57">
        <f t="shared" si="11"/>
        <v>-3.0720705743334698E-3</v>
      </c>
      <c r="O57">
        <f t="shared" si="14"/>
        <v>0.13052128020602163</v>
      </c>
      <c r="P57">
        <f t="shared" si="15"/>
        <v>0.17019109258628004</v>
      </c>
      <c r="Q57">
        <f t="shared" si="12"/>
        <v>2.6280942130862428E-3</v>
      </c>
    </row>
    <row r="58" spans="2:17">
      <c r="B58">
        <f t="shared" si="5"/>
        <v>54</v>
      </c>
      <c r="C58">
        <v>1276.6600000000001</v>
      </c>
      <c r="D58">
        <v>1282</v>
      </c>
      <c r="E58">
        <f t="shared" si="6"/>
        <v>0.50729241919587054</v>
      </c>
      <c r="F58">
        <f t="shared" si="1"/>
        <v>-0.35039942411838609</v>
      </c>
      <c r="H58">
        <f t="shared" si="7"/>
        <v>0.50729241919587054</v>
      </c>
      <c r="I58" s="28">
        <v>1</v>
      </c>
      <c r="J58">
        <f t="shared" si="8"/>
        <v>-0.35039942411838609</v>
      </c>
      <c r="K58">
        <f t="shared" si="13"/>
        <v>0.31990179556426063</v>
      </c>
      <c r="L58">
        <f t="shared" si="9"/>
        <v>0.18739062363160991</v>
      </c>
      <c r="M58">
        <f t="shared" si="10"/>
        <v>-6.5661566605701341E-2</v>
      </c>
      <c r="N58">
        <f t="shared" si="11"/>
        <v>5.9946596971658578E-2</v>
      </c>
      <c r="O58">
        <f t="shared" si="14"/>
        <v>1.0261865097993208E-2</v>
      </c>
      <c r="P58">
        <f t="shared" si="15"/>
        <v>7.4114466702166855E-3</v>
      </c>
      <c r="Q58">
        <f t="shared" si="12"/>
        <v>3.5115245825043676E-2</v>
      </c>
    </row>
    <row r="59" spans="2:17">
      <c r="B59">
        <f t="shared" si="5"/>
        <v>55</v>
      </c>
      <c r="C59">
        <v>1303.82</v>
      </c>
      <c r="D59">
        <v>1275.5</v>
      </c>
      <c r="E59">
        <f t="shared" si="6"/>
        <v>2.1051124587992298</v>
      </c>
      <c r="F59">
        <f t="shared" si="1"/>
        <v>-0.50830998987487774</v>
      </c>
      <c r="H59">
        <f t="shared" si="7"/>
        <v>2.1051124587992298</v>
      </c>
      <c r="I59" s="28">
        <v>1</v>
      </c>
      <c r="J59">
        <f t="shared" si="8"/>
        <v>-0.50830998987487774</v>
      </c>
      <c r="K59">
        <f t="shared" si="13"/>
        <v>0.30034298780827806</v>
      </c>
      <c r="L59">
        <f t="shared" si="9"/>
        <v>1.8047694709909519</v>
      </c>
      <c r="M59">
        <f t="shared" si="10"/>
        <v>-0.9173823515258992</v>
      </c>
      <c r="N59">
        <f t="shared" si="11"/>
        <v>0.54204985522258786</v>
      </c>
      <c r="O59">
        <f t="shared" si="14"/>
        <v>1.4607060317627861E-2</v>
      </c>
      <c r="P59">
        <f t="shared" si="15"/>
        <v>2.8355522111143365</v>
      </c>
      <c r="Q59">
        <f t="shared" si="12"/>
        <v>3.25719284342096</v>
      </c>
    </row>
    <row r="60" spans="2:17">
      <c r="B60">
        <f t="shared" si="5"/>
        <v>56</v>
      </c>
      <c r="C60">
        <v>1335.85</v>
      </c>
      <c r="D60">
        <v>1312.8</v>
      </c>
      <c r="E60">
        <f t="shared" si="6"/>
        <v>2.4269376195303671</v>
      </c>
      <c r="F60">
        <f t="shared" si="1"/>
        <v>2.882400219401493</v>
      </c>
      <c r="H60">
        <f t="shared" si="7"/>
        <v>2.4269376195303671</v>
      </c>
      <c r="I60" s="28">
        <v>1</v>
      </c>
      <c r="J60">
        <f t="shared" si="8"/>
        <v>2.882400219401493</v>
      </c>
      <c r="K60">
        <f t="shared" si="13"/>
        <v>0.72031646343847089</v>
      </c>
      <c r="L60">
        <f t="shared" si="9"/>
        <v>1.7066211560918962</v>
      </c>
      <c r="M60">
        <f t="shared" si="10"/>
        <v>4.9191651947545116</v>
      </c>
      <c r="N60">
        <f t="shared" si="11"/>
        <v>1.2293073155853893</v>
      </c>
      <c r="O60">
        <f t="shared" si="14"/>
        <v>8.9469067517963061E-2</v>
      </c>
      <c r="P60">
        <f t="shared" si="15"/>
        <v>4.0229727286234862</v>
      </c>
      <c r="Q60">
        <f t="shared" si="12"/>
        <v>2.9125557704204406</v>
      </c>
    </row>
    <row r="61" spans="2:17">
      <c r="B61">
        <f t="shared" si="5"/>
        <v>57</v>
      </c>
      <c r="C61">
        <v>1377.94</v>
      </c>
      <c r="D61">
        <v>1340.8</v>
      </c>
      <c r="E61">
        <f t="shared" si="6"/>
        <v>3.1021836917226153</v>
      </c>
      <c r="F61">
        <f t="shared" si="1"/>
        <v>2.110418995193708</v>
      </c>
      <c r="H61">
        <f t="shared" si="7"/>
        <v>3.1021836917226153</v>
      </c>
      <c r="I61" s="28">
        <v>1</v>
      </c>
      <c r="J61">
        <f t="shared" si="8"/>
        <v>2.110418995193708</v>
      </c>
      <c r="K61">
        <f t="shared" si="13"/>
        <v>0.62469884416661148</v>
      </c>
      <c r="L61">
        <f t="shared" si="9"/>
        <v>2.4774848475560036</v>
      </c>
      <c r="M61">
        <f t="shared" si="10"/>
        <v>5.2285310825867777</v>
      </c>
      <c r="N61">
        <f t="shared" si="11"/>
        <v>1.5476819207085291</v>
      </c>
      <c r="O61">
        <f t="shared" si="14"/>
        <v>4.1410697045571675E-2</v>
      </c>
      <c r="P61">
        <f t="shared" si="15"/>
        <v>7.1876592934471928</v>
      </c>
      <c r="Q61">
        <f t="shared" si="12"/>
        <v>6.1379311698695949</v>
      </c>
    </row>
    <row r="62" spans="2:17">
      <c r="B62">
        <f t="shared" si="5"/>
        <v>58</v>
      </c>
      <c r="C62">
        <v>1400.63</v>
      </c>
      <c r="D62">
        <v>1373</v>
      </c>
      <c r="E62">
        <f t="shared" si="6"/>
        <v>1.6332505122360175</v>
      </c>
      <c r="F62">
        <f t="shared" si="1"/>
        <v>2.3731676040152472</v>
      </c>
      <c r="H62">
        <f t="shared" si="7"/>
        <v>1.6332505122360175</v>
      </c>
      <c r="I62" s="28">
        <v>1</v>
      </c>
      <c r="J62">
        <f t="shared" si="8"/>
        <v>2.3731676040152472</v>
      </c>
      <c r="K62">
        <f t="shared" si="13"/>
        <v>0.65724289531020053</v>
      </c>
      <c r="L62">
        <f t="shared" si="9"/>
        <v>0.97600761692581695</v>
      </c>
      <c r="M62">
        <f t="shared" si="10"/>
        <v>2.3162296577604722</v>
      </c>
      <c r="N62">
        <f t="shared" si="11"/>
        <v>0.641474071993133</v>
      </c>
      <c r="O62">
        <f t="shared" si="14"/>
        <v>5.571499277252142E-2</v>
      </c>
      <c r="P62">
        <f t="shared" si="15"/>
        <v>1.4690599965578444</v>
      </c>
      <c r="Q62">
        <f t="shared" si="12"/>
        <v>0.95259086829721229</v>
      </c>
    </row>
    <row r="63" spans="2:17">
      <c r="B63">
        <f t="shared" si="5"/>
        <v>59</v>
      </c>
      <c r="C63">
        <v>1418.3</v>
      </c>
      <c r="D63">
        <v>1398.4</v>
      </c>
      <c r="E63">
        <f t="shared" si="6"/>
        <v>1.2536835916846734</v>
      </c>
      <c r="F63">
        <f t="shared" si="1"/>
        <v>1.8330599133300041</v>
      </c>
      <c r="H63">
        <f t="shared" si="7"/>
        <v>1.2536835916846734</v>
      </c>
      <c r="I63" s="28">
        <v>1</v>
      </c>
      <c r="J63">
        <f t="shared" si="8"/>
        <v>1.8330599133300041</v>
      </c>
      <c r="K63">
        <f t="shared" si="13"/>
        <v>0.59034513936187138</v>
      </c>
      <c r="L63">
        <f t="shared" si="9"/>
        <v>0.66333845232280197</v>
      </c>
      <c r="M63">
        <f t="shared" si="10"/>
        <v>1.2159391259232943</v>
      </c>
      <c r="N63">
        <f t="shared" si="11"/>
        <v>0.39159863108059262</v>
      </c>
      <c r="O63">
        <f t="shared" si="14"/>
        <v>2.8609178387186195E-2</v>
      </c>
      <c r="P63">
        <f t="shared" si="15"/>
        <v>0.69302450192621778</v>
      </c>
      <c r="Q63">
        <f t="shared" si="12"/>
        <v>0.4400179023300102</v>
      </c>
    </row>
    <row r="64" spans="2:17">
      <c r="B64">
        <f t="shared" si="5"/>
        <v>60</v>
      </c>
      <c r="C64">
        <v>1438.24</v>
      </c>
      <c r="D64">
        <v>1437.6</v>
      </c>
      <c r="E64">
        <f t="shared" si="6"/>
        <v>1.3961172524527221</v>
      </c>
      <c r="F64">
        <f t="shared" si="1"/>
        <v>2.7646330568078525</v>
      </c>
      <c r="H64">
        <f t="shared" si="7"/>
        <v>1.3961172524527221</v>
      </c>
      <c r="I64" s="28">
        <v>1</v>
      </c>
      <c r="J64">
        <f t="shared" si="8"/>
        <v>2.7646330568078525</v>
      </c>
      <c r="K64">
        <f t="shared" si="13"/>
        <v>0.70572981889000841</v>
      </c>
      <c r="L64">
        <f t="shared" si="9"/>
        <v>0.6903874335627137</v>
      </c>
      <c r="M64">
        <f t="shared" si="10"/>
        <v>1.9086679208322135</v>
      </c>
      <c r="N64">
        <f t="shared" si="11"/>
        <v>0.48722699845215167</v>
      </c>
      <c r="O64">
        <f t="shared" si="14"/>
        <v>8.0955704251164592E-2</v>
      </c>
      <c r="P64">
        <f t="shared" si="15"/>
        <v>0.95045846293752834</v>
      </c>
      <c r="Q64">
        <f t="shared" si="12"/>
        <v>0.47663480842131045</v>
      </c>
    </row>
    <row r="65" spans="2:18">
      <c r="B65">
        <f t="shared" si="5"/>
        <v>61</v>
      </c>
      <c r="C65">
        <v>1406.82</v>
      </c>
      <c r="D65">
        <v>1450.7</v>
      </c>
      <c r="E65">
        <f t="shared" si="6"/>
        <v>-2.2088305664389907</v>
      </c>
      <c r="F65">
        <f t="shared" si="1"/>
        <v>0.90711420755074101</v>
      </c>
      <c r="H65">
        <f t="shared" si="7"/>
        <v>-2.2088305664389907</v>
      </c>
      <c r="I65" s="28">
        <v>1</v>
      </c>
      <c r="J65">
        <f t="shared" si="8"/>
        <v>0.90711420755074101</v>
      </c>
      <c r="K65">
        <f t="shared" si="13"/>
        <v>0.47565747444816581</v>
      </c>
      <c r="L65">
        <f t="shared" si="9"/>
        <v>-2.6844880408871563</v>
      </c>
      <c r="M65">
        <f t="shared" si="10"/>
        <v>-2.435137241888794</v>
      </c>
      <c r="N65">
        <f t="shared" si="11"/>
        <v>-1.2768968017146893</v>
      </c>
      <c r="O65">
        <f t="shared" si="14"/>
        <v>2.9653268367074628E-3</v>
      </c>
      <c r="P65">
        <f t="shared" si="15"/>
        <v>6.9170747712011806</v>
      </c>
      <c r="Q65">
        <f t="shared" si="12"/>
        <v>7.2064760416661624</v>
      </c>
    </row>
    <row r="66" spans="2:18">
      <c r="B66">
        <f t="shared" si="5"/>
        <v>62</v>
      </c>
      <c r="C66">
        <v>1420.86</v>
      </c>
      <c r="D66">
        <v>1404.9</v>
      </c>
      <c r="E66">
        <f t="shared" si="6"/>
        <v>0.99304839152862812</v>
      </c>
      <c r="F66">
        <f t="shared" si="1"/>
        <v>-3.2080072687251437</v>
      </c>
      <c r="H66">
        <f t="shared" si="7"/>
        <v>0.99304839152862812</v>
      </c>
      <c r="I66" s="28">
        <v>1</v>
      </c>
      <c r="J66">
        <f t="shared" si="8"/>
        <v>-3.2080072687251437</v>
      </c>
      <c r="K66">
        <f t="shared" si="13"/>
        <v>-3.4041604023322458E-2</v>
      </c>
      <c r="L66">
        <f t="shared" si="9"/>
        <v>1.0270899955519506</v>
      </c>
      <c r="M66">
        <f t="shared" si="10"/>
        <v>-3.2949121713655329</v>
      </c>
      <c r="N66">
        <f t="shared" si="11"/>
        <v>-3.496379092489553E-2</v>
      </c>
      <c r="O66">
        <f t="shared" si="14"/>
        <v>0.20724733975790502</v>
      </c>
      <c r="P66">
        <f t="shared" si="15"/>
        <v>0.32700754087883238</v>
      </c>
      <c r="Q66">
        <f t="shared" si="12"/>
        <v>1.0549138589629059</v>
      </c>
    </row>
    <row r="67" spans="2:18">
      <c r="B67">
        <f t="shared" si="5"/>
        <v>63</v>
      </c>
      <c r="C67">
        <v>1482.37</v>
      </c>
      <c r="D67">
        <v>1434.7</v>
      </c>
      <c r="E67">
        <f t="shared" si="6"/>
        <v>4.2379836237604884</v>
      </c>
      <c r="F67">
        <f t="shared" si="1"/>
        <v>2.0989642246738605</v>
      </c>
      <c r="H67">
        <f t="shared" si="7"/>
        <v>4.2379836237604884</v>
      </c>
      <c r="I67" s="28">
        <v>1</v>
      </c>
      <c r="J67">
        <f t="shared" si="8"/>
        <v>2.0989642246738605</v>
      </c>
      <c r="K67">
        <f t="shared" si="13"/>
        <v>0.62328005592142155</v>
      </c>
      <c r="L67">
        <f t="shared" si="9"/>
        <v>3.6147035678390669</v>
      </c>
      <c r="M67">
        <f t="shared" si="10"/>
        <v>7.5871334716951644</v>
      </c>
      <c r="N67">
        <f t="shared" si="11"/>
        <v>2.2529726419020957</v>
      </c>
      <c r="O67">
        <f t="shared" si="14"/>
        <v>4.0835274017058873E-2</v>
      </c>
      <c r="P67">
        <f t="shared" si="15"/>
        <v>14.567816926734903</v>
      </c>
      <c r="Q67">
        <f t="shared" si="12"/>
        <v>13.066081883348479</v>
      </c>
    </row>
    <row r="68" spans="2:18">
      <c r="B68">
        <f t="shared" si="5"/>
        <v>64</v>
      </c>
      <c r="C68">
        <v>1530.62</v>
      </c>
      <c r="D68">
        <v>1501.7</v>
      </c>
      <c r="E68">
        <f t="shared" si="6"/>
        <v>3.2030723748061263</v>
      </c>
      <c r="F68">
        <f t="shared" si="1"/>
        <v>4.5642031581890841</v>
      </c>
      <c r="H68">
        <f t="shared" si="7"/>
        <v>3.2030723748061263</v>
      </c>
      <c r="I68" s="28">
        <v>1</v>
      </c>
      <c r="J68">
        <f t="shared" si="8"/>
        <v>4.5642031581890841</v>
      </c>
      <c r="K68">
        <f t="shared" si="13"/>
        <v>0.92862462955521918</v>
      </c>
      <c r="L68">
        <f t="shared" si="9"/>
        <v>2.2744477452509071</v>
      </c>
      <c r="M68">
        <f t="shared" si="10"/>
        <v>10.381041582010232</v>
      </c>
      <c r="N68">
        <f t="shared" si="11"/>
        <v>2.1121081948763272</v>
      </c>
      <c r="O68">
        <f t="shared" si="14"/>
        <v>0.25747705537481108</v>
      </c>
      <c r="P68">
        <f t="shared" si="15"/>
        <v>7.7387991111835346</v>
      </c>
      <c r="Q68">
        <f t="shared" si="12"/>
        <v>5.1731125458769354</v>
      </c>
    </row>
    <row r="69" spans="2:18">
      <c r="B69">
        <f t="shared" si="5"/>
        <v>65</v>
      </c>
      <c r="C69">
        <v>1503.35</v>
      </c>
      <c r="D69">
        <v>1540.7</v>
      </c>
      <c r="E69">
        <f t="shared" si="6"/>
        <v>-1.7976930819990855</v>
      </c>
      <c r="F69">
        <f t="shared" ref="F69" si="16">100*(LN(D69)-LN(D68))</f>
        <v>2.5639058901494316</v>
      </c>
      <c r="H69">
        <f t="shared" si="7"/>
        <v>-1.7976930819990855</v>
      </c>
      <c r="I69" s="28">
        <v>1</v>
      </c>
      <c r="J69">
        <f t="shared" si="8"/>
        <v>2.5639058901494316</v>
      </c>
      <c r="K69">
        <f t="shared" si="13"/>
        <v>0.68086774556852303</v>
      </c>
      <c r="L69">
        <f t="shared" si="9"/>
        <v>-2.4785608275676085</v>
      </c>
      <c r="M69">
        <f t="shared" si="10"/>
        <v>-6.3547967048942411</v>
      </c>
      <c r="N69">
        <f t="shared" si="11"/>
        <v>-1.6875721229204104</v>
      </c>
      <c r="O69">
        <f t="shared" si="14"/>
        <v>6.7425956759265326E-2</v>
      </c>
      <c r="P69">
        <f t="shared" si="15"/>
        <v>4.9234983130416978</v>
      </c>
      <c r="Q69">
        <f t="shared" si="12"/>
        <v>6.1432637759526285</v>
      </c>
    </row>
    <row r="70" spans="2:18">
      <c r="B70">
        <f t="shared" si="5"/>
        <v>66</v>
      </c>
      <c r="C70">
        <v>1455.27</v>
      </c>
      <c r="D70">
        <v>1531.5</v>
      </c>
      <c r="E70">
        <f t="shared" ref="E70" si="17">100*(LN(C70)-LN(C69))</f>
        <v>-3.2504500841186612</v>
      </c>
      <c r="F70">
        <f t="shared" ref="F70" si="18">100*(LN(D70)-LN(D69))</f>
        <v>-0.59892113148993786</v>
      </c>
      <c r="H70">
        <f t="shared" ref="H70" si="19">E70</f>
        <v>-3.2504500841186612</v>
      </c>
      <c r="I70" s="28">
        <v>1</v>
      </c>
      <c r="J70">
        <f t="shared" ref="J70" si="20">F70</f>
        <v>-0.59892113148993786</v>
      </c>
      <c r="K70">
        <f t="shared" ref="K70" si="21">X$18+X$19*J70</f>
        <v>0.28911988889207263</v>
      </c>
      <c r="L70">
        <f t="shared" si="9"/>
        <v>-3.5395699730107339</v>
      </c>
      <c r="M70">
        <f t="shared" si="10"/>
        <v>2.1199232532233978</v>
      </c>
      <c r="N70">
        <f t="shared" si="11"/>
        <v>-1.0233600773225799</v>
      </c>
      <c r="O70">
        <f t="shared" si="14"/>
        <v>1.7445858374739113E-2</v>
      </c>
      <c r="P70">
        <f t="shared" si="15"/>
        <v>13.481033872037267</v>
      </c>
      <c r="Q70">
        <f t="shared" si="12"/>
        <v>12.528555593839208</v>
      </c>
    </row>
    <row r="71" spans="2:18">
      <c r="K71" s="47">
        <f t="shared" ref="K71:R71" si="22">SUM(K6:K70)</f>
        <v>27.378172887989919</v>
      </c>
      <c r="L71" s="47">
        <f t="shared" si="22"/>
        <v>3.5527136788005009E-15</v>
      </c>
      <c r="M71" s="47">
        <f t="shared" si="22"/>
        <v>-6.7501559897209518E-14</v>
      </c>
      <c r="N71" s="47">
        <f t="shared" si="22"/>
        <v>-2.2204460492503131E-15</v>
      </c>
      <c r="O71" s="47">
        <f t="shared" ref="O71" si="23">SUM(O6:O70)</f>
        <v>10.782701960921528</v>
      </c>
      <c r="P71" s="47">
        <f t="shared" ref="P71" si="24">SUM(P6:P70)</f>
        <v>803.37871164229705</v>
      </c>
      <c r="Q71" s="47">
        <f t="shared" ref="Q71" si="25">SUM(Q6:Q70)</f>
        <v>792.59600968137579</v>
      </c>
      <c r="R71" s="47">
        <f t="shared" si="22"/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C4:U79"/>
  <sheetViews>
    <sheetView topLeftCell="M31" workbookViewId="0">
      <selection activeCell="S4" sqref="S4:U17"/>
    </sheetView>
  </sheetViews>
  <sheetFormatPr defaultRowHeight="15"/>
  <cols>
    <col min="17" max="17" width="12.7109375" bestFit="1" customWidth="1"/>
  </cols>
  <sheetData>
    <row r="4" spans="3:21">
      <c r="C4" s="49" t="s">
        <v>51</v>
      </c>
      <c r="D4" s="45" t="s">
        <v>92</v>
      </c>
      <c r="E4" s="49" t="s">
        <v>49</v>
      </c>
      <c r="G4" s="49" t="s">
        <v>109</v>
      </c>
      <c r="H4" s="45" t="s">
        <v>92</v>
      </c>
      <c r="I4" s="49" t="s">
        <v>110</v>
      </c>
      <c r="J4" s="49"/>
      <c r="K4" s="49" t="s">
        <v>109</v>
      </c>
      <c r="L4" s="45" t="s">
        <v>92</v>
      </c>
      <c r="M4" s="49" t="s">
        <v>111</v>
      </c>
      <c r="N4" s="49"/>
      <c r="O4" s="49" t="s">
        <v>112</v>
      </c>
      <c r="P4" s="45" t="s">
        <v>92</v>
      </c>
      <c r="Q4" s="49" t="s">
        <v>110</v>
      </c>
      <c r="R4" s="49"/>
      <c r="S4" s="38" t="s">
        <v>93</v>
      </c>
      <c r="T4" s="40">
        <f t="array" ref="T4:U5">MMULT(TRANSPOSE(D5:E79),D5:E79)</f>
        <v>75</v>
      </c>
      <c r="U4" s="41">
        <v>138.2999999999999</v>
      </c>
    </row>
    <row r="5" spans="3:21">
      <c r="C5" s="36">
        <v>73.2</v>
      </c>
      <c r="D5" s="48">
        <v>1</v>
      </c>
      <c r="E5" s="36">
        <v>1.3</v>
      </c>
      <c r="G5">
        <f>LN(C5)</f>
        <v>4.2931954209672663</v>
      </c>
      <c r="H5" s="28">
        <v>1</v>
      </c>
      <c r="I5">
        <f>LN(E5)</f>
        <v>0.26236426446749106</v>
      </c>
      <c r="K5">
        <f>LN(C5)</f>
        <v>4.2931954209672663</v>
      </c>
      <c r="L5" s="28">
        <v>1</v>
      </c>
      <c r="M5">
        <f>E5</f>
        <v>1.3</v>
      </c>
      <c r="O5">
        <f>C5</f>
        <v>73.2</v>
      </c>
      <c r="P5" s="28">
        <v>1</v>
      </c>
      <c r="Q5">
        <f>LN(E5)</f>
        <v>0.26236426446749106</v>
      </c>
      <c r="S5" s="38"/>
      <c r="T5" s="40">
        <v>138.2999999999999</v>
      </c>
      <c r="U5" s="41">
        <v>306.21000000000004</v>
      </c>
    </row>
    <row r="6" spans="3:21">
      <c r="C6" s="36">
        <v>71.8</v>
      </c>
      <c r="D6" s="48">
        <v>1</v>
      </c>
      <c r="E6" s="36">
        <v>2.9</v>
      </c>
      <c r="G6">
        <f t="shared" ref="G6:G69" si="0">LN(C6)</f>
        <v>4.2738844760541781</v>
      </c>
      <c r="H6" s="28">
        <v>1</v>
      </c>
      <c r="I6">
        <f t="shared" ref="I6:I69" si="1">LN(E6)</f>
        <v>1.0647107369924282</v>
      </c>
      <c r="K6">
        <f t="shared" ref="K6:K69" si="2">LN(C6)</f>
        <v>4.2738844760541781</v>
      </c>
      <c r="L6" s="28">
        <v>1</v>
      </c>
      <c r="M6">
        <f t="shared" ref="M6:M69" si="3">E6</f>
        <v>2.9</v>
      </c>
      <c r="O6">
        <f t="shared" ref="O6:O69" si="4">C6</f>
        <v>71.8</v>
      </c>
      <c r="P6" s="28">
        <v>1</v>
      </c>
      <c r="Q6">
        <f t="shared" ref="Q6:Q69" si="5">LN(E6)</f>
        <v>1.0647107369924282</v>
      </c>
      <c r="S6" s="38"/>
    </row>
    <row r="7" spans="3:21" ht="17.25">
      <c r="C7" s="36">
        <v>62.4</v>
      </c>
      <c r="D7" s="48">
        <v>1</v>
      </c>
      <c r="E7" s="36">
        <v>0.8</v>
      </c>
      <c r="G7">
        <f t="shared" si="0"/>
        <v>4.133565275375382</v>
      </c>
      <c r="H7" s="28">
        <v>1</v>
      </c>
      <c r="I7">
        <f t="shared" si="1"/>
        <v>-0.22314355131420971</v>
      </c>
      <c r="K7">
        <f t="shared" si="2"/>
        <v>4.133565275375382</v>
      </c>
      <c r="L7" s="28">
        <v>1</v>
      </c>
      <c r="M7">
        <f t="shared" si="3"/>
        <v>0.8</v>
      </c>
      <c r="O7">
        <f t="shared" si="4"/>
        <v>62.4</v>
      </c>
      <c r="P7" s="28">
        <v>1</v>
      </c>
      <c r="Q7">
        <f t="shared" si="5"/>
        <v>-0.22314355131420971</v>
      </c>
      <c r="S7" s="38" t="s">
        <v>94</v>
      </c>
      <c r="T7" s="40">
        <f t="array" ref="T7:U8">MINVERSE(T4:U5)</f>
        <v>7.9765867992059522E-2</v>
      </c>
      <c r="U7" s="41">
        <v>-3.6026320313842869E-2</v>
      </c>
    </row>
    <row r="8" spans="3:21">
      <c r="C8" s="36">
        <v>67.400000000000006</v>
      </c>
      <c r="D8" s="48">
        <v>1</v>
      </c>
      <c r="E8" s="36">
        <v>0.7</v>
      </c>
      <c r="G8">
        <f t="shared" si="0"/>
        <v>4.2106450179182611</v>
      </c>
      <c r="H8" s="28">
        <v>1</v>
      </c>
      <c r="I8">
        <f t="shared" si="1"/>
        <v>-0.35667494393873245</v>
      </c>
      <c r="K8">
        <f t="shared" si="2"/>
        <v>4.2106450179182611</v>
      </c>
      <c r="L8" s="28">
        <v>1</v>
      </c>
      <c r="M8">
        <f t="shared" si="3"/>
        <v>0.7</v>
      </c>
      <c r="O8">
        <f t="shared" si="4"/>
        <v>67.400000000000006</v>
      </c>
      <c r="P8" s="28">
        <v>1</v>
      </c>
      <c r="Q8">
        <f t="shared" si="5"/>
        <v>-0.35667494393873245</v>
      </c>
      <c r="T8" s="40">
        <v>-3.6026320313842862E-2</v>
      </c>
      <c r="U8" s="41">
        <v>1.9537050061736925E-2</v>
      </c>
    </row>
    <row r="9" spans="3:21">
      <c r="C9" s="36">
        <v>89.3</v>
      </c>
      <c r="D9" s="48">
        <v>1</v>
      </c>
      <c r="E9" s="36">
        <v>1.5</v>
      </c>
      <c r="G9">
        <f t="shared" si="0"/>
        <v>4.4920014878824537</v>
      </c>
      <c r="H9" s="28">
        <v>1</v>
      </c>
      <c r="I9">
        <f t="shared" si="1"/>
        <v>0.40546510810816438</v>
      </c>
      <c r="K9">
        <f t="shared" si="2"/>
        <v>4.4920014878824537</v>
      </c>
      <c r="L9" s="28">
        <v>1</v>
      </c>
      <c r="M9">
        <f t="shared" si="3"/>
        <v>1.5</v>
      </c>
      <c r="O9">
        <f t="shared" si="4"/>
        <v>89.3</v>
      </c>
      <c r="P9" s="28">
        <v>1</v>
      </c>
      <c r="Q9">
        <f t="shared" si="5"/>
        <v>0.40546510810816438</v>
      </c>
    </row>
    <row r="10" spans="3:21">
      <c r="C10" s="36">
        <v>70.3</v>
      </c>
      <c r="D10" s="48">
        <v>1</v>
      </c>
      <c r="E10" s="36">
        <v>1.3</v>
      </c>
      <c r="G10">
        <f t="shared" si="0"/>
        <v>4.2527717988166192</v>
      </c>
      <c r="H10" s="28">
        <v>1</v>
      </c>
      <c r="I10">
        <f t="shared" si="1"/>
        <v>0.26236426446749106</v>
      </c>
      <c r="K10">
        <f t="shared" si="2"/>
        <v>4.2527717988166192</v>
      </c>
      <c r="L10" s="28">
        <v>1</v>
      </c>
      <c r="M10">
        <f t="shared" si="3"/>
        <v>1.3</v>
      </c>
      <c r="O10">
        <f t="shared" si="4"/>
        <v>70.3</v>
      </c>
      <c r="P10" s="28">
        <v>1</v>
      </c>
      <c r="Q10">
        <f t="shared" si="5"/>
        <v>0.26236426446749106</v>
      </c>
      <c r="S10" s="38" t="s">
        <v>95</v>
      </c>
      <c r="T10" s="42">
        <f t="array" ref="T10:T11">MMULT(TRANSPOSE(D5:E79),C5:C79)</f>
        <v>5803.0999999999985</v>
      </c>
    </row>
    <row r="11" spans="3:21">
      <c r="C11" s="36">
        <v>73.2</v>
      </c>
      <c r="D11" s="48">
        <v>1</v>
      </c>
      <c r="E11" s="36">
        <v>1.8</v>
      </c>
      <c r="G11">
        <f t="shared" si="0"/>
        <v>4.2931954209672663</v>
      </c>
      <c r="H11" s="28">
        <v>1</v>
      </c>
      <c r="I11">
        <f t="shared" si="1"/>
        <v>0.58778666490211906</v>
      </c>
      <c r="K11">
        <f t="shared" si="2"/>
        <v>4.2931954209672663</v>
      </c>
      <c r="L11" s="28">
        <v>1</v>
      </c>
      <c r="M11">
        <f t="shared" si="3"/>
        <v>1.8</v>
      </c>
      <c r="O11">
        <f t="shared" si="4"/>
        <v>73.2</v>
      </c>
      <c r="P11" s="28">
        <v>1</v>
      </c>
      <c r="Q11">
        <f t="shared" si="5"/>
        <v>0.58778666490211906</v>
      </c>
      <c r="T11" s="42">
        <v>10789.600000000002</v>
      </c>
    </row>
    <row r="12" spans="3:21">
      <c r="C12" s="36">
        <v>86.1</v>
      </c>
      <c r="D12" s="48">
        <v>1</v>
      </c>
      <c r="E12" s="36">
        <v>2.4</v>
      </c>
      <c r="G12">
        <f t="shared" si="0"/>
        <v>4.4555094114336846</v>
      </c>
      <c r="H12" s="28">
        <v>1</v>
      </c>
      <c r="I12">
        <f t="shared" si="1"/>
        <v>0.87546873735389985</v>
      </c>
      <c r="K12">
        <f t="shared" si="2"/>
        <v>4.4555094114336846</v>
      </c>
      <c r="L12" s="28">
        <v>1</v>
      </c>
      <c r="M12">
        <f t="shared" si="3"/>
        <v>2.4</v>
      </c>
      <c r="O12">
        <f t="shared" si="4"/>
        <v>86.1</v>
      </c>
      <c r="P12" s="28">
        <v>1</v>
      </c>
      <c r="Q12">
        <f t="shared" si="5"/>
        <v>0.87546873735389985</v>
      </c>
    </row>
    <row r="13" spans="3:21">
      <c r="C13" s="36">
        <v>81</v>
      </c>
      <c r="D13" s="48">
        <v>1</v>
      </c>
      <c r="E13" s="36">
        <v>0.7</v>
      </c>
      <c r="G13">
        <f t="shared" si="0"/>
        <v>4.3944491546724391</v>
      </c>
      <c r="H13" s="28">
        <v>1</v>
      </c>
      <c r="I13">
        <f t="shared" si="1"/>
        <v>-0.35667494393873245</v>
      </c>
      <c r="K13">
        <f t="shared" si="2"/>
        <v>4.3944491546724391</v>
      </c>
      <c r="L13" s="28">
        <v>1</v>
      </c>
      <c r="M13">
        <f t="shared" si="3"/>
        <v>0.7</v>
      </c>
      <c r="O13">
        <f t="shared" si="4"/>
        <v>81</v>
      </c>
      <c r="P13" s="28">
        <v>1</v>
      </c>
      <c r="Q13">
        <f t="shared" si="5"/>
        <v>-0.35667494393873245</v>
      </c>
    </row>
    <row r="14" spans="3:21">
      <c r="C14" s="36">
        <v>76.400000000000006</v>
      </c>
      <c r="D14" s="48">
        <v>1</v>
      </c>
      <c r="E14" s="36">
        <v>3</v>
      </c>
      <c r="G14">
        <f t="shared" si="0"/>
        <v>4.3359826961724748</v>
      </c>
      <c r="H14" s="28">
        <v>1</v>
      </c>
      <c r="I14">
        <f t="shared" si="1"/>
        <v>1.0986122886681098</v>
      </c>
      <c r="K14">
        <f t="shared" si="2"/>
        <v>4.3359826961724748</v>
      </c>
      <c r="L14" s="28">
        <v>1</v>
      </c>
      <c r="M14">
        <f t="shared" si="3"/>
        <v>3</v>
      </c>
      <c r="O14">
        <f t="shared" si="4"/>
        <v>76.400000000000006</v>
      </c>
      <c r="P14" s="28">
        <v>1</v>
      </c>
      <c r="Q14">
        <f t="shared" si="5"/>
        <v>1.0986122886681098</v>
      </c>
      <c r="S14" s="39" t="s">
        <v>96</v>
      </c>
      <c r="T14" s="42">
        <f t="array" ref="T14:T15">MMULT(T7:U8,T10:T11)</f>
        <v>74.179722886481386</v>
      </c>
    </row>
    <row r="15" spans="3:21">
      <c r="C15" s="36">
        <v>76.599999999999994</v>
      </c>
      <c r="D15" s="48">
        <v>1</v>
      </c>
      <c r="E15" s="36">
        <v>2.8</v>
      </c>
      <c r="G15">
        <f t="shared" si="0"/>
        <v>4.3385970767465452</v>
      </c>
      <c r="H15" s="28">
        <v>1</v>
      </c>
      <c r="I15">
        <f t="shared" si="1"/>
        <v>1.0296194171811581</v>
      </c>
      <c r="K15">
        <f t="shared" si="2"/>
        <v>4.3385970767465452</v>
      </c>
      <c r="L15" s="28">
        <v>1</v>
      </c>
      <c r="M15">
        <f t="shared" si="3"/>
        <v>2.8</v>
      </c>
      <c r="O15">
        <f t="shared" si="4"/>
        <v>76.599999999999994</v>
      </c>
      <c r="P15" s="28">
        <v>1</v>
      </c>
      <c r="Q15">
        <f t="shared" si="5"/>
        <v>1.0296194171811581</v>
      </c>
      <c r="T15" s="42">
        <v>1.7326159328553103</v>
      </c>
    </row>
    <row r="16" spans="3:21">
      <c r="C16" s="36">
        <v>82.2</v>
      </c>
      <c r="D16" s="48">
        <v>1</v>
      </c>
      <c r="E16" s="36">
        <v>2.7</v>
      </c>
      <c r="G16">
        <f t="shared" si="0"/>
        <v>4.4091553020621346</v>
      </c>
      <c r="H16" s="28">
        <v>1</v>
      </c>
      <c r="I16">
        <f t="shared" si="1"/>
        <v>0.99325177301028345</v>
      </c>
      <c r="K16">
        <f t="shared" si="2"/>
        <v>4.4091553020621346</v>
      </c>
      <c r="L16" s="28">
        <v>1</v>
      </c>
      <c r="M16">
        <f t="shared" si="3"/>
        <v>2.7</v>
      </c>
      <c r="O16">
        <f t="shared" si="4"/>
        <v>82.2</v>
      </c>
      <c r="P16" s="28">
        <v>1</v>
      </c>
      <c r="Q16">
        <f t="shared" si="5"/>
        <v>0.99325177301028345</v>
      </c>
    </row>
    <row r="17" spans="3:21">
      <c r="C17" s="36">
        <v>82.1</v>
      </c>
      <c r="D17" s="48">
        <v>1</v>
      </c>
      <c r="E17" s="36">
        <v>2.8</v>
      </c>
      <c r="G17">
        <f t="shared" si="0"/>
        <v>4.4079380164583828</v>
      </c>
      <c r="H17" s="28">
        <v>1</v>
      </c>
      <c r="I17">
        <f t="shared" si="1"/>
        <v>1.0296194171811581</v>
      </c>
      <c r="K17">
        <f t="shared" si="2"/>
        <v>4.4079380164583828</v>
      </c>
      <c r="L17" s="28">
        <v>1</v>
      </c>
      <c r="M17">
        <f t="shared" si="3"/>
        <v>2.8</v>
      </c>
      <c r="O17">
        <f t="shared" si="4"/>
        <v>82.1</v>
      </c>
      <c r="P17" s="28">
        <v>1</v>
      </c>
      <c r="Q17">
        <f t="shared" si="5"/>
        <v>1.0296194171811581</v>
      </c>
    </row>
    <row r="18" spans="3:21">
      <c r="C18" s="36">
        <v>68.599999999999994</v>
      </c>
      <c r="D18" s="48">
        <v>1</v>
      </c>
      <c r="E18" s="36">
        <v>2.8</v>
      </c>
      <c r="G18">
        <f t="shared" si="0"/>
        <v>4.2282925347318399</v>
      </c>
      <c r="H18" s="28">
        <v>1</v>
      </c>
      <c r="I18">
        <f t="shared" si="1"/>
        <v>1.0296194171811581</v>
      </c>
      <c r="K18">
        <f t="shared" si="2"/>
        <v>4.2282925347318399</v>
      </c>
      <c r="L18" s="28">
        <v>1</v>
      </c>
      <c r="M18">
        <f t="shared" si="3"/>
        <v>2.8</v>
      </c>
      <c r="O18">
        <f t="shared" si="4"/>
        <v>68.599999999999994</v>
      </c>
      <c r="P18" s="28">
        <v>1</v>
      </c>
      <c r="Q18">
        <f t="shared" si="5"/>
        <v>1.0296194171811581</v>
      </c>
    </row>
    <row r="19" spans="3:21">
      <c r="C19" s="36">
        <v>76.5</v>
      </c>
      <c r="D19" s="48">
        <v>1</v>
      </c>
      <c r="E19" s="36">
        <v>2.2999999999999998</v>
      </c>
      <c r="G19">
        <f t="shared" si="0"/>
        <v>4.3372907408324899</v>
      </c>
      <c r="H19" s="28">
        <v>1</v>
      </c>
      <c r="I19">
        <f t="shared" si="1"/>
        <v>0.83290912293510388</v>
      </c>
      <c r="K19">
        <f t="shared" si="2"/>
        <v>4.3372907408324899</v>
      </c>
      <c r="L19" s="28">
        <v>1</v>
      </c>
      <c r="M19">
        <f t="shared" si="3"/>
        <v>2.2999999999999998</v>
      </c>
      <c r="O19">
        <f t="shared" si="4"/>
        <v>76.5</v>
      </c>
      <c r="P19" s="28">
        <v>1</v>
      </c>
      <c r="Q19">
        <f t="shared" si="5"/>
        <v>0.83290912293510388</v>
      </c>
    </row>
    <row r="20" spans="3:21">
      <c r="C20" s="36">
        <v>80.3</v>
      </c>
      <c r="D20" s="48">
        <v>1</v>
      </c>
      <c r="E20" s="36">
        <v>1.7</v>
      </c>
      <c r="G20">
        <f t="shared" si="0"/>
        <v>4.3857696209527157</v>
      </c>
      <c r="H20" s="28">
        <v>1</v>
      </c>
      <c r="I20">
        <f t="shared" si="1"/>
        <v>0.53062825106217038</v>
      </c>
      <c r="K20">
        <f t="shared" si="2"/>
        <v>4.3857696209527157</v>
      </c>
      <c r="L20" s="28">
        <v>1</v>
      </c>
      <c r="M20">
        <f t="shared" si="3"/>
        <v>1.7</v>
      </c>
      <c r="O20">
        <f t="shared" si="4"/>
        <v>80.3</v>
      </c>
      <c r="P20" s="28">
        <v>1</v>
      </c>
      <c r="Q20">
        <f t="shared" si="5"/>
        <v>0.53062825106217038</v>
      </c>
    </row>
    <row r="21" spans="3:21">
      <c r="C21" s="36">
        <v>70.7</v>
      </c>
      <c r="D21" s="48">
        <v>1</v>
      </c>
      <c r="E21" s="36">
        <v>1.5</v>
      </c>
      <c r="G21">
        <f t="shared" si="0"/>
        <v>4.2584455729025272</v>
      </c>
      <c r="H21" s="28">
        <v>1</v>
      </c>
      <c r="I21">
        <f t="shared" si="1"/>
        <v>0.40546510810816438</v>
      </c>
      <c r="K21">
        <f t="shared" si="2"/>
        <v>4.2584455729025272</v>
      </c>
      <c r="L21" s="28">
        <v>1</v>
      </c>
      <c r="M21">
        <f t="shared" si="3"/>
        <v>1.5</v>
      </c>
      <c r="O21">
        <f t="shared" si="4"/>
        <v>70.7</v>
      </c>
      <c r="P21" s="28">
        <v>1</v>
      </c>
      <c r="Q21">
        <f t="shared" si="5"/>
        <v>0.40546510810816438</v>
      </c>
    </row>
    <row r="22" spans="3:21">
      <c r="C22" s="36">
        <v>75</v>
      </c>
      <c r="D22" s="48">
        <v>1</v>
      </c>
      <c r="E22" s="36">
        <v>0.8</v>
      </c>
      <c r="G22">
        <f t="shared" si="0"/>
        <v>4.3174881135363101</v>
      </c>
      <c r="H22" s="28">
        <v>1</v>
      </c>
      <c r="I22">
        <f t="shared" si="1"/>
        <v>-0.22314355131420971</v>
      </c>
      <c r="K22">
        <f t="shared" si="2"/>
        <v>4.3174881135363101</v>
      </c>
      <c r="L22" s="28">
        <v>1</v>
      </c>
      <c r="M22">
        <f t="shared" si="3"/>
        <v>0.8</v>
      </c>
      <c r="O22">
        <f t="shared" si="4"/>
        <v>75</v>
      </c>
      <c r="P22" s="28">
        <v>1</v>
      </c>
      <c r="Q22">
        <f t="shared" si="5"/>
        <v>-0.22314355131420971</v>
      </c>
    </row>
    <row r="23" spans="3:21">
      <c r="C23" s="36">
        <v>73.7</v>
      </c>
      <c r="D23" s="48">
        <v>1</v>
      </c>
      <c r="E23" s="36">
        <v>2.9</v>
      </c>
      <c r="G23">
        <f t="shared" si="0"/>
        <v>4.3000027991952914</v>
      </c>
      <c r="H23" s="28">
        <v>1</v>
      </c>
      <c r="I23">
        <f t="shared" si="1"/>
        <v>1.0647107369924282</v>
      </c>
      <c r="K23">
        <f t="shared" si="2"/>
        <v>4.3000027991952914</v>
      </c>
      <c r="L23" s="28">
        <v>1</v>
      </c>
      <c r="M23">
        <f t="shared" si="3"/>
        <v>2.9</v>
      </c>
      <c r="O23">
        <f t="shared" si="4"/>
        <v>73.7</v>
      </c>
      <c r="P23" s="28">
        <v>1</v>
      </c>
      <c r="Q23">
        <f t="shared" si="5"/>
        <v>1.0647107369924282</v>
      </c>
      <c r="S23" s="38" t="s">
        <v>93</v>
      </c>
      <c r="T23" s="40">
        <f t="array" ref="T23:U24">MMULT(TRANSPOSE(H5:I79),H5:I79)</f>
        <v>75</v>
      </c>
      <c r="U23" s="41">
        <v>36.660367361905202</v>
      </c>
    </row>
    <row r="24" spans="3:21">
      <c r="C24" s="36">
        <v>71.2</v>
      </c>
      <c r="D24" s="48">
        <v>1</v>
      </c>
      <c r="E24" s="36">
        <v>0.5</v>
      </c>
      <c r="G24">
        <f t="shared" si="0"/>
        <v>4.2654928184179299</v>
      </c>
      <c r="H24" s="28">
        <v>1</v>
      </c>
      <c r="I24">
        <f t="shared" si="1"/>
        <v>-0.69314718055994529</v>
      </c>
      <c r="K24">
        <f t="shared" si="2"/>
        <v>4.2654928184179299</v>
      </c>
      <c r="L24" s="28">
        <v>1</v>
      </c>
      <c r="M24">
        <f t="shared" si="3"/>
        <v>0.5</v>
      </c>
      <c r="O24">
        <f t="shared" si="4"/>
        <v>71.2</v>
      </c>
      <c r="P24" s="28">
        <v>1</v>
      </c>
      <c r="Q24">
        <f t="shared" si="5"/>
        <v>-0.69314718055994529</v>
      </c>
      <c r="S24" s="38"/>
      <c r="T24" s="40">
        <v>36.660367361905202</v>
      </c>
      <c r="U24" s="41">
        <v>38.774887626952136</v>
      </c>
    </row>
    <row r="25" spans="3:21">
      <c r="C25" s="36">
        <v>84.7</v>
      </c>
      <c r="D25" s="48">
        <v>1</v>
      </c>
      <c r="E25" s="36">
        <v>2.1</v>
      </c>
      <c r="G25">
        <f t="shared" si="0"/>
        <v>4.4391156016580089</v>
      </c>
      <c r="H25" s="28">
        <v>1</v>
      </c>
      <c r="I25">
        <f t="shared" si="1"/>
        <v>0.74193734472937733</v>
      </c>
      <c r="K25">
        <f t="shared" si="2"/>
        <v>4.4391156016580089</v>
      </c>
      <c r="L25" s="28">
        <v>1</v>
      </c>
      <c r="M25">
        <f t="shared" si="3"/>
        <v>2.1</v>
      </c>
      <c r="O25">
        <f t="shared" si="4"/>
        <v>84.7</v>
      </c>
      <c r="P25" s="28">
        <v>1</v>
      </c>
      <c r="Q25">
        <f t="shared" si="5"/>
        <v>0.74193734472937733</v>
      </c>
      <c r="S25" s="38"/>
    </row>
    <row r="26" spans="3:21" ht="17.25">
      <c r="C26" s="36">
        <v>73.599999999999994</v>
      </c>
      <c r="D26" s="48">
        <v>1</v>
      </c>
      <c r="E26" s="36">
        <v>0.8</v>
      </c>
      <c r="G26">
        <f t="shared" si="0"/>
        <v>4.2986450257348308</v>
      </c>
      <c r="H26" s="28">
        <v>1</v>
      </c>
      <c r="I26">
        <f t="shared" si="1"/>
        <v>-0.22314355131420971</v>
      </c>
      <c r="K26">
        <f t="shared" si="2"/>
        <v>4.2986450257348308</v>
      </c>
      <c r="L26" s="28">
        <v>1</v>
      </c>
      <c r="M26">
        <f t="shared" si="3"/>
        <v>0.8</v>
      </c>
      <c r="O26">
        <f t="shared" si="4"/>
        <v>73.599999999999994</v>
      </c>
      <c r="P26" s="28">
        <v>1</v>
      </c>
      <c r="Q26">
        <f t="shared" si="5"/>
        <v>-0.22314355131420971</v>
      </c>
      <c r="S26" s="38" t="s">
        <v>94</v>
      </c>
      <c r="T26" s="40">
        <f t="array" ref="T26:U27">MINVERSE(T23:U24)</f>
        <v>2.4790003101981224E-2</v>
      </c>
      <c r="U26" s="41">
        <v>-2.3438123905475707E-2</v>
      </c>
    </row>
    <row r="27" spans="3:21">
      <c r="C27" s="36">
        <v>73.7</v>
      </c>
      <c r="D27" s="48">
        <v>1</v>
      </c>
      <c r="E27" s="36">
        <v>1.1000000000000001</v>
      </c>
      <c r="G27">
        <f t="shared" si="0"/>
        <v>4.3000027991952914</v>
      </c>
      <c r="H27" s="28">
        <v>1</v>
      </c>
      <c r="I27">
        <f t="shared" si="1"/>
        <v>9.5310179804324935E-2</v>
      </c>
      <c r="K27">
        <f t="shared" si="2"/>
        <v>4.3000027991952914</v>
      </c>
      <c r="L27" s="28">
        <v>1</v>
      </c>
      <c r="M27">
        <f t="shared" si="3"/>
        <v>1.1000000000000001</v>
      </c>
      <c r="O27">
        <f t="shared" si="4"/>
        <v>73.7</v>
      </c>
      <c r="P27" s="28">
        <v>1</v>
      </c>
      <c r="Q27">
        <f t="shared" si="5"/>
        <v>9.5310179804324935E-2</v>
      </c>
      <c r="T27" s="40">
        <v>-2.343812390547571E-2</v>
      </c>
      <c r="U27" s="41">
        <v>4.7949854827077323E-2</v>
      </c>
    </row>
    <row r="28" spans="3:21">
      <c r="C28" s="36">
        <v>78.099999999999994</v>
      </c>
      <c r="D28" s="48">
        <v>1</v>
      </c>
      <c r="E28" s="36">
        <v>1.9</v>
      </c>
      <c r="G28">
        <f t="shared" si="0"/>
        <v>4.3579900568456402</v>
      </c>
      <c r="H28" s="28">
        <v>1</v>
      </c>
      <c r="I28">
        <f t="shared" si="1"/>
        <v>0.64185388617239469</v>
      </c>
      <c r="K28">
        <f t="shared" si="2"/>
        <v>4.3579900568456402</v>
      </c>
      <c r="L28" s="28">
        <v>1</v>
      </c>
      <c r="M28">
        <f t="shared" si="3"/>
        <v>1.9</v>
      </c>
      <c r="O28">
        <f t="shared" si="4"/>
        <v>78.099999999999994</v>
      </c>
      <c r="P28" s="28">
        <v>1</v>
      </c>
      <c r="Q28">
        <f t="shared" si="5"/>
        <v>0.64185388617239469</v>
      </c>
    </row>
    <row r="29" spans="3:21">
      <c r="C29" s="36">
        <v>75.7</v>
      </c>
      <c r="D29" s="48">
        <v>1</v>
      </c>
      <c r="E29" s="36">
        <v>2.1</v>
      </c>
      <c r="G29">
        <f t="shared" si="0"/>
        <v>4.3267781604434035</v>
      </c>
      <c r="H29" s="28">
        <v>1</v>
      </c>
      <c r="I29">
        <f t="shared" si="1"/>
        <v>0.74193734472937733</v>
      </c>
      <c r="K29">
        <f t="shared" si="2"/>
        <v>4.3267781604434035</v>
      </c>
      <c r="L29" s="28">
        <v>1</v>
      </c>
      <c r="M29">
        <f t="shared" si="3"/>
        <v>2.1</v>
      </c>
      <c r="O29">
        <f t="shared" si="4"/>
        <v>75.7</v>
      </c>
      <c r="P29" s="28">
        <v>1</v>
      </c>
      <c r="Q29">
        <f t="shared" si="5"/>
        <v>0.74193734472937733</v>
      </c>
      <c r="S29" s="38" t="s">
        <v>95</v>
      </c>
      <c r="T29" s="42">
        <f t="array" ref="T29:T30">MMULT(TRANSPOSE(H5:I79),G5:G79)</f>
        <v>325.88702053143493</v>
      </c>
    </row>
    <row r="30" spans="3:21">
      <c r="C30" s="36">
        <v>74.400000000000006</v>
      </c>
      <c r="D30" s="48">
        <v>1</v>
      </c>
      <c r="E30" s="36">
        <v>1.3</v>
      </c>
      <c r="G30">
        <f t="shared" si="0"/>
        <v>4.3094559418390466</v>
      </c>
      <c r="H30" s="28">
        <v>1</v>
      </c>
      <c r="I30">
        <f t="shared" si="1"/>
        <v>0.26236426446749106</v>
      </c>
      <c r="K30">
        <f t="shared" si="2"/>
        <v>4.3094559418390466</v>
      </c>
      <c r="L30" s="28">
        <v>1</v>
      </c>
      <c r="M30">
        <f t="shared" si="3"/>
        <v>1.3</v>
      </c>
      <c r="O30">
        <f t="shared" si="4"/>
        <v>74.400000000000006</v>
      </c>
      <c r="P30" s="28">
        <v>1</v>
      </c>
      <c r="Q30">
        <f t="shared" si="5"/>
        <v>0.26236426446749106</v>
      </c>
      <c r="T30" s="42">
        <v>160.24489507933603</v>
      </c>
    </row>
    <row r="31" spans="3:21">
      <c r="C31" s="36">
        <v>68.7</v>
      </c>
      <c r="D31" s="48">
        <v>1</v>
      </c>
      <c r="E31" s="36">
        <v>1.1000000000000001</v>
      </c>
      <c r="G31">
        <f t="shared" si="0"/>
        <v>4.2297491992283041</v>
      </c>
      <c r="H31" s="28">
        <v>1</v>
      </c>
      <c r="I31">
        <f t="shared" si="1"/>
        <v>9.5310179804324935E-2</v>
      </c>
      <c r="K31">
        <f t="shared" si="2"/>
        <v>4.2297491992283041</v>
      </c>
      <c r="L31" s="28">
        <v>1</v>
      </c>
      <c r="M31">
        <f t="shared" si="3"/>
        <v>1.1000000000000001</v>
      </c>
      <c r="O31">
        <f t="shared" si="4"/>
        <v>68.7</v>
      </c>
      <c r="P31" s="28">
        <v>1</v>
      </c>
      <c r="Q31">
        <f t="shared" si="5"/>
        <v>9.5310179804324935E-2</v>
      </c>
    </row>
    <row r="32" spans="3:21">
      <c r="C32" s="36">
        <v>83.9</v>
      </c>
      <c r="D32" s="48">
        <v>1</v>
      </c>
      <c r="E32" s="36">
        <v>1.1000000000000001</v>
      </c>
      <c r="G32">
        <f t="shared" si="0"/>
        <v>4.4296256134731609</v>
      </c>
      <c r="H32" s="28">
        <v>1</v>
      </c>
      <c r="I32">
        <f t="shared" si="1"/>
        <v>9.5310179804324935E-2</v>
      </c>
      <c r="K32">
        <f t="shared" si="2"/>
        <v>4.4296256134731609</v>
      </c>
      <c r="L32" s="28">
        <v>1</v>
      </c>
      <c r="M32">
        <f t="shared" si="3"/>
        <v>1.1000000000000001</v>
      </c>
      <c r="O32">
        <f t="shared" si="4"/>
        <v>83.9</v>
      </c>
      <c r="P32" s="28">
        <v>1</v>
      </c>
      <c r="Q32">
        <f t="shared" si="5"/>
        <v>9.5310179804324935E-2</v>
      </c>
    </row>
    <row r="33" spans="3:21">
      <c r="C33" s="36">
        <v>86.1</v>
      </c>
      <c r="D33" s="48">
        <v>1</v>
      </c>
      <c r="E33" s="36">
        <v>2.9</v>
      </c>
      <c r="G33">
        <f t="shared" si="0"/>
        <v>4.4555094114336846</v>
      </c>
      <c r="H33" s="28">
        <v>1</v>
      </c>
      <c r="I33">
        <f t="shared" si="1"/>
        <v>1.0647107369924282</v>
      </c>
      <c r="K33">
        <f t="shared" si="2"/>
        <v>4.4555094114336846</v>
      </c>
      <c r="L33" s="28">
        <v>1</v>
      </c>
      <c r="M33">
        <f t="shared" si="3"/>
        <v>2.9</v>
      </c>
      <c r="O33">
        <f t="shared" si="4"/>
        <v>86.1</v>
      </c>
      <c r="P33" s="28">
        <v>1</v>
      </c>
      <c r="Q33">
        <f t="shared" si="5"/>
        <v>1.0647107369924282</v>
      </c>
      <c r="S33" s="39" t="s">
        <v>96</v>
      </c>
      <c r="T33" s="42">
        <f t="array" ref="T33:T34">MMULT(T26:U27,T29:T30)</f>
        <v>4.3229005437802588</v>
      </c>
    </row>
    <row r="34" spans="3:21">
      <c r="C34" s="36">
        <v>73.7</v>
      </c>
      <c r="D34" s="48">
        <v>1</v>
      </c>
      <c r="E34" s="36">
        <v>1.4</v>
      </c>
      <c r="G34">
        <f t="shared" si="0"/>
        <v>4.3000027991952914</v>
      </c>
      <c r="H34" s="28">
        <v>1</v>
      </c>
      <c r="I34">
        <f t="shared" si="1"/>
        <v>0.33647223662121289</v>
      </c>
      <c r="K34">
        <f t="shared" si="2"/>
        <v>4.3000027991952914</v>
      </c>
      <c r="L34" s="28">
        <v>1</v>
      </c>
      <c r="M34">
        <f t="shared" si="3"/>
        <v>1.4</v>
      </c>
      <c r="O34">
        <f t="shared" si="4"/>
        <v>73.7</v>
      </c>
      <c r="P34" s="28">
        <v>1</v>
      </c>
      <c r="Q34">
        <f t="shared" si="5"/>
        <v>0.33647223662121289</v>
      </c>
      <c r="T34" s="42">
        <v>4.5539089432321767E-2</v>
      </c>
    </row>
    <row r="35" spans="3:21">
      <c r="C35" s="36">
        <v>75.7</v>
      </c>
      <c r="D35" s="48">
        <v>1</v>
      </c>
      <c r="E35" s="36">
        <v>2.5</v>
      </c>
      <c r="G35">
        <f t="shared" si="0"/>
        <v>4.3267781604434035</v>
      </c>
      <c r="H35" s="28">
        <v>1</v>
      </c>
      <c r="I35">
        <f t="shared" si="1"/>
        <v>0.91629073187415511</v>
      </c>
      <c r="K35">
        <f t="shared" si="2"/>
        <v>4.3267781604434035</v>
      </c>
      <c r="L35" s="28">
        <v>1</v>
      </c>
      <c r="M35">
        <f t="shared" si="3"/>
        <v>2.5</v>
      </c>
      <c r="O35">
        <f t="shared" si="4"/>
        <v>75.7</v>
      </c>
      <c r="P35" s="28">
        <v>1</v>
      </c>
      <c r="Q35">
        <f t="shared" si="5"/>
        <v>0.91629073187415511</v>
      </c>
    </row>
    <row r="36" spans="3:21">
      <c r="C36" s="36">
        <v>78.8</v>
      </c>
      <c r="D36" s="48">
        <v>1</v>
      </c>
      <c r="E36" s="36">
        <v>3</v>
      </c>
      <c r="G36">
        <f t="shared" si="0"/>
        <v>4.3669129968638334</v>
      </c>
      <c r="H36" s="28">
        <v>1</v>
      </c>
      <c r="I36">
        <f t="shared" si="1"/>
        <v>1.0986122886681098</v>
      </c>
      <c r="K36">
        <f t="shared" si="2"/>
        <v>4.3669129968638334</v>
      </c>
      <c r="L36" s="28">
        <v>1</v>
      </c>
      <c r="M36">
        <f t="shared" si="3"/>
        <v>3</v>
      </c>
      <c r="O36">
        <f t="shared" si="4"/>
        <v>78.8</v>
      </c>
      <c r="P36" s="28">
        <v>1</v>
      </c>
      <c r="Q36">
        <f t="shared" si="5"/>
        <v>1.0986122886681098</v>
      </c>
    </row>
    <row r="37" spans="3:21">
      <c r="C37" s="36">
        <v>73.7</v>
      </c>
      <c r="D37" s="48">
        <v>1</v>
      </c>
      <c r="E37" s="36">
        <v>1</v>
      </c>
      <c r="G37">
        <f t="shared" si="0"/>
        <v>4.3000027991952914</v>
      </c>
      <c r="H37" s="28">
        <v>1</v>
      </c>
      <c r="I37">
        <f t="shared" si="1"/>
        <v>0</v>
      </c>
      <c r="K37">
        <f t="shared" si="2"/>
        <v>4.3000027991952914</v>
      </c>
      <c r="L37" s="28">
        <v>1</v>
      </c>
      <c r="M37">
        <f t="shared" si="3"/>
        <v>1</v>
      </c>
      <c r="O37">
        <f t="shared" si="4"/>
        <v>73.7</v>
      </c>
      <c r="P37" s="28">
        <v>1</v>
      </c>
      <c r="Q37">
        <f t="shared" si="5"/>
        <v>0</v>
      </c>
    </row>
    <row r="38" spans="3:21">
      <c r="C38" s="36">
        <v>80.2</v>
      </c>
      <c r="D38" s="48">
        <v>1</v>
      </c>
      <c r="E38" s="36">
        <v>3.1</v>
      </c>
      <c r="G38">
        <f t="shared" si="0"/>
        <v>4.3845235148724688</v>
      </c>
      <c r="H38" s="28">
        <v>1</v>
      </c>
      <c r="I38">
        <f t="shared" si="1"/>
        <v>1.1314021114911006</v>
      </c>
      <c r="K38">
        <f t="shared" si="2"/>
        <v>4.3845235148724688</v>
      </c>
      <c r="L38" s="28">
        <v>1</v>
      </c>
      <c r="M38">
        <f t="shared" si="3"/>
        <v>3.1</v>
      </c>
      <c r="O38">
        <f t="shared" si="4"/>
        <v>80.2</v>
      </c>
      <c r="P38" s="28">
        <v>1</v>
      </c>
      <c r="Q38">
        <f t="shared" si="5"/>
        <v>1.1314021114911006</v>
      </c>
    </row>
    <row r="39" spans="3:21">
      <c r="C39" s="36">
        <v>69.900000000000006</v>
      </c>
      <c r="D39" s="48">
        <v>1</v>
      </c>
      <c r="E39" s="36">
        <v>0.5</v>
      </c>
      <c r="G39">
        <f t="shared" si="0"/>
        <v>4.2470656492397643</v>
      </c>
      <c r="H39" s="28">
        <v>1</v>
      </c>
      <c r="I39">
        <f t="shared" si="1"/>
        <v>-0.69314718055994529</v>
      </c>
      <c r="K39">
        <f t="shared" si="2"/>
        <v>4.2470656492397643</v>
      </c>
      <c r="L39" s="28">
        <v>1</v>
      </c>
      <c r="M39">
        <f t="shared" si="3"/>
        <v>0.5</v>
      </c>
      <c r="O39">
        <f t="shared" si="4"/>
        <v>69.900000000000006</v>
      </c>
      <c r="P39" s="28">
        <v>1</v>
      </c>
      <c r="Q39">
        <f t="shared" si="5"/>
        <v>-0.69314718055994529</v>
      </c>
      <c r="S39" s="38" t="s">
        <v>93</v>
      </c>
      <c r="T39" s="40">
        <f t="array" ref="T39:U40">MMULT(TRANSPOSE(L5:M79),L5:M79)</f>
        <v>75</v>
      </c>
      <c r="U39" s="41">
        <v>138.2999999999999</v>
      </c>
    </row>
    <row r="40" spans="3:21">
      <c r="C40" s="36">
        <v>69.099999999999994</v>
      </c>
      <c r="D40" s="48">
        <v>1</v>
      </c>
      <c r="E40" s="36">
        <v>2.7</v>
      </c>
      <c r="G40">
        <f t="shared" si="0"/>
        <v>4.2355547307736243</v>
      </c>
      <c r="H40" s="28">
        <v>1</v>
      </c>
      <c r="I40">
        <f t="shared" si="1"/>
        <v>0.99325177301028345</v>
      </c>
      <c r="K40">
        <f t="shared" si="2"/>
        <v>4.2355547307736243</v>
      </c>
      <c r="L40" s="28">
        <v>1</v>
      </c>
      <c r="M40">
        <f t="shared" si="3"/>
        <v>2.7</v>
      </c>
      <c r="O40">
        <f t="shared" si="4"/>
        <v>69.099999999999994</v>
      </c>
      <c r="P40" s="28">
        <v>1</v>
      </c>
      <c r="Q40">
        <f t="shared" si="5"/>
        <v>0.99325177301028345</v>
      </c>
      <c r="S40" s="38"/>
      <c r="T40" s="40">
        <v>138.2999999999999</v>
      </c>
      <c r="U40" s="41">
        <v>306.21000000000004</v>
      </c>
    </row>
    <row r="41" spans="3:21">
      <c r="C41" s="36">
        <v>83.8</v>
      </c>
      <c r="D41" s="48">
        <v>1</v>
      </c>
      <c r="E41" s="36">
        <v>0.9</v>
      </c>
      <c r="G41">
        <f t="shared" si="0"/>
        <v>4.4284330074880369</v>
      </c>
      <c r="H41" s="28">
        <v>1</v>
      </c>
      <c r="I41">
        <f t="shared" si="1"/>
        <v>-0.10536051565782628</v>
      </c>
      <c r="K41">
        <f t="shared" si="2"/>
        <v>4.4284330074880369</v>
      </c>
      <c r="L41" s="28">
        <v>1</v>
      </c>
      <c r="M41">
        <f t="shared" si="3"/>
        <v>0.9</v>
      </c>
      <c r="O41">
        <f t="shared" si="4"/>
        <v>83.8</v>
      </c>
      <c r="P41" s="28">
        <v>1</v>
      </c>
      <c r="Q41">
        <f t="shared" si="5"/>
        <v>-0.10536051565782628</v>
      </c>
      <c r="S41" s="38"/>
    </row>
    <row r="42" spans="3:21" ht="17.25">
      <c r="C42" s="36">
        <v>84.3</v>
      </c>
      <c r="D42" s="48">
        <v>1</v>
      </c>
      <c r="E42" s="36">
        <v>1.5</v>
      </c>
      <c r="G42">
        <f t="shared" si="0"/>
        <v>4.4343818650078095</v>
      </c>
      <c r="H42" s="28">
        <v>1</v>
      </c>
      <c r="I42">
        <f t="shared" si="1"/>
        <v>0.40546510810816438</v>
      </c>
      <c r="K42">
        <f t="shared" si="2"/>
        <v>4.4343818650078095</v>
      </c>
      <c r="L42" s="28">
        <v>1</v>
      </c>
      <c r="M42">
        <f t="shared" si="3"/>
        <v>1.5</v>
      </c>
      <c r="O42">
        <f t="shared" si="4"/>
        <v>84.3</v>
      </c>
      <c r="P42" s="28">
        <v>1</v>
      </c>
      <c r="Q42">
        <f t="shared" si="5"/>
        <v>0.40546510810816438</v>
      </c>
      <c r="S42" s="38" t="s">
        <v>94</v>
      </c>
      <c r="T42" s="40">
        <f t="array" ref="T42:U43">MINVERSE(T39:U40)</f>
        <v>7.9765867992059522E-2</v>
      </c>
      <c r="U42" s="41">
        <v>-3.6026320313842869E-2</v>
      </c>
    </row>
    <row r="43" spans="3:21">
      <c r="C43" s="36">
        <v>66</v>
      </c>
      <c r="D43" s="48">
        <v>1</v>
      </c>
      <c r="E43" s="36">
        <v>2.8</v>
      </c>
      <c r="G43">
        <f t="shared" si="0"/>
        <v>4.1896547420264252</v>
      </c>
      <c r="H43" s="28">
        <v>1</v>
      </c>
      <c r="I43">
        <f t="shared" si="1"/>
        <v>1.0296194171811581</v>
      </c>
      <c r="K43">
        <f t="shared" si="2"/>
        <v>4.1896547420264252</v>
      </c>
      <c r="L43" s="28">
        <v>1</v>
      </c>
      <c r="M43">
        <f t="shared" si="3"/>
        <v>2.8</v>
      </c>
      <c r="O43">
        <f t="shared" si="4"/>
        <v>66</v>
      </c>
      <c r="P43" s="28">
        <v>1</v>
      </c>
      <c r="Q43">
        <f t="shared" si="5"/>
        <v>1.0296194171811581</v>
      </c>
      <c r="T43" s="40">
        <v>-3.6026320313842862E-2</v>
      </c>
      <c r="U43" s="41">
        <v>1.9537050061736925E-2</v>
      </c>
    </row>
    <row r="44" spans="3:21">
      <c r="C44" s="36">
        <v>84.3</v>
      </c>
      <c r="D44" s="48">
        <v>1</v>
      </c>
      <c r="E44" s="36">
        <v>2.2999999999999998</v>
      </c>
      <c r="G44">
        <f t="shared" si="0"/>
        <v>4.4343818650078095</v>
      </c>
      <c r="H44" s="28">
        <v>1</v>
      </c>
      <c r="I44">
        <f t="shared" si="1"/>
        <v>0.83290912293510388</v>
      </c>
      <c r="K44">
        <f t="shared" si="2"/>
        <v>4.4343818650078095</v>
      </c>
      <c r="L44" s="28">
        <v>1</v>
      </c>
      <c r="M44">
        <f t="shared" si="3"/>
        <v>2.2999999999999998</v>
      </c>
      <c r="O44">
        <f t="shared" si="4"/>
        <v>84.3</v>
      </c>
      <c r="P44" s="28">
        <v>1</v>
      </c>
      <c r="Q44">
        <f t="shared" si="5"/>
        <v>0.83290912293510388</v>
      </c>
    </row>
    <row r="45" spans="3:21">
      <c r="C45" s="36">
        <v>79.5</v>
      </c>
      <c r="D45" s="48">
        <v>1</v>
      </c>
      <c r="E45" s="36">
        <v>1.2</v>
      </c>
      <c r="G45">
        <f t="shared" si="0"/>
        <v>4.3757570216602861</v>
      </c>
      <c r="H45" s="28">
        <v>1</v>
      </c>
      <c r="I45">
        <f t="shared" si="1"/>
        <v>0.18232155679395459</v>
      </c>
      <c r="K45">
        <f t="shared" si="2"/>
        <v>4.3757570216602861</v>
      </c>
      <c r="L45" s="28">
        <v>1</v>
      </c>
      <c r="M45">
        <f t="shared" si="3"/>
        <v>1.2</v>
      </c>
      <c r="O45">
        <f t="shared" si="4"/>
        <v>79.5</v>
      </c>
      <c r="P45" s="28">
        <v>1</v>
      </c>
      <c r="Q45">
        <f t="shared" si="5"/>
        <v>0.18232155679395459</v>
      </c>
      <c r="S45" s="38" t="s">
        <v>95</v>
      </c>
      <c r="T45" s="42">
        <f t="array" ref="T45:T46">MMULT(TRANSPOSE(L5:M79),K5:K79)</f>
        <v>325.88702053143493</v>
      </c>
    </row>
    <row r="46" spans="3:21">
      <c r="C46" s="36">
        <v>80.2</v>
      </c>
      <c r="D46" s="48">
        <v>1</v>
      </c>
      <c r="E46" s="36">
        <v>3.1</v>
      </c>
      <c r="G46">
        <f t="shared" si="0"/>
        <v>4.3845235148724688</v>
      </c>
      <c r="H46" s="28">
        <v>1</v>
      </c>
      <c r="I46">
        <f t="shared" si="1"/>
        <v>1.1314021114911006</v>
      </c>
      <c r="K46">
        <f t="shared" si="2"/>
        <v>4.3845235148724688</v>
      </c>
      <c r="L46" s="28">
        <v>1</v>
      </c>
      <c r="M46">
        <f t="shared" si="3"/>
        <v>3.1</v>
      </c>
      <c r="O46">
        <f t="shared" si="4"/>
        <v>80.2</v>
      </c>
      <c r="P46" s="28">
        <v>1</v>
      </c>
      <c r="Q46">
        <f t="shared" si="5"/>
        <v>1.1314021114911006</v>
      </c>
      <c r="T46" s="42">
        <v>602.11720380626252</v>
      </c>
    </row>
    <row r="47" spans="3:21">
      <c r="C47" s="36">
        <v>67.599999999999994</v>
      </c>
      <c r="D47" s="48">
        <v>1</v>
      </c>
      <c r="E47" s="36">
        <v>1</v>
      </c>
      <c r="G47">
        <f t="shared" si="0"/>
        <v>4.2136079830489184</v>
      </c>
      <c r="H47" s="28">
        <v>1</v>
      </c>
      <c r="I47">
        <f t="shared" si="1"/>
        <v>0</v>
      </c>
      <c r="K47">
        <f t="shared" si="2"/>
        <v>4.2136079830489184</v>
      </c>
      <c r="L47" s="28">
        <v>1</v>
      </c>
      <c r="M47">
        <f t="shared" si="3"/>
        <v>1</v>
      </c>
      <c r="O47">
        <f t="shared" si="4"/>
        <v>67.599999999999994</v>
      </c>
      <c r="P47" s="28">
        <v>1</v>
      </c>
      <c r="Q47">
        <f t="shared" si="5"/>
        <v>0</v>
      </c>
    </row>
    <row r="48" spans="3:21">
      <c r="C48" s="36">
        <v>86.5</v>
      </c>
      <c r="D48" s="48">
        <v>1</v>
      </c>
      <c r="E48" s="36">
        <v>2.5</v>
      </c>
      <c r="G48">
        <f t="shared" si="0"/>
        <v>4.4601444139378339</v>
      </c>
      <c r="H48" s="28">
        <v>1</v>
      </c>
      <c r="I48">
        <f t="shared" si="1"/>
        <v>0.91629073187415511</v>
      </c>
      <c r="K48">
        <f t="shared" si="2"/>
        <v>4.4601444139378339</v>
      </c>
      <c r="L48" s="28">
        <v>1</v>
      </c>
      <c r="M48">
        <f t="shared" si="3"/>
        <v>2.5</v>
      </c>
      <c r="O48">
        <f t="shared" si="4"/>
        <v>86.5</v>
      </c>
      <c r="P48" s="28">
        <v>1</v>
      </c>
      <c r="Q48">
        <f t="shared" si="5"/>
        <v>0.91629073187415511</v>
      </c>
    </row>
    <row r="49" spans="3:21">
      <c r="C49" s="36">
        <v>87.6</v>
      </c>
      <c r="D49" s="48">
        <v>1</v>
      </c>
      <c r="E49" s="36">
        <v>2.1</v>
      </c>
      <c r="G49">
        <f t="shared" si="0"/>
        <v>4.4727809979423458</v>
      </c>
      <c r="H49" s="28">
        <v>1</v>
      </c>
      <c r="I49">
        <f t="shared" si="1"/>
        <v>0.74193734472937733</v>
      </c>
      <c r="K49">
        <f t="shared" si="2"/>
        <v>4.4727809979423458</v>
      </c>
      <c r="L49" s="28">
        <v>1</v>
      </c>
      <c r="M49">
        <f t="shared" si="3"/>
        <v>2.1</v>
      </c>
      <c r="O49">
        <f t="shared" si="4"/>
        <v>87.6</v>
      </c>
      <c r="P49" s="28">
        <v>1</v>
      </c>
      <c r="Q49">
        <f t="shared" si="5"/>
        <v>0.74193734472937733</v>
      </c>
      <c r="S49" s="39" t="s">
        <v>96</v>
      </c>
      <c r="T49" s="42">
        <f t="array" ref="T49:T50">MMULT(T42:U43,T45:T46)</f>
        <v>4.3025938092362068</v>
      </c>
    </row>
    <row r="50" spans="3:21">
      <c r="C50" s="36">
        <v>84.2</v>
      </c>
      <c r="D50" s="48">
        <v>1</v>
      </c>
      <c r="E50" s="36">
        <v>2.8</v>
      </c>
      <c r="G50">
        <f t="shared" si="0"/>
        <v>4.4331949212482815</v>
      </c>
      <c r="H50" s="28">
        <v>1</v>
      </c>
      <c r="I50">
        <f t="shared" si="1"/>
        <v>1.0296194171811581</v>
      </c>
      <c r="K50">
        <f t="shared" si="2"/>
        <v>4.4331949212482815</v>
      </c>
      <c r="L50" s="28">
        <v>1</v>
      </c>
      <c r="M50">
        <f t="shared" si="3"/>
        <v>2.8</v>
      </c>
      <c r="O50">
        <f t="shared" si="4"/>
        <v>84.2</v>
      </c>
      <c r="P50" s="28">
        <v>1</v>
      </c>
      <c r="Q50">
        <f t="shared" si="5"/>
        <v>1.0296194171811581</v>
      </c>
      <c r="T50" s="42">
        <v>2.30837660066463E-2</v>
      </c>
    </row>
    <row r="51" spans="3:21">
      <c r="C51" s="36">
        <v>75.2</v>
      </c>
      <c r="D51" s="48">
        <v>1</v>
      </c>
      <c r="E51" s="36">
        <v>3.1</v>
      </c>
      <c r="G51">
        <f t="shared" si="0"/>
        <v>4.3201512309557941</v>
      </c>
      <c r="H51" s="28">
        <v>1</v>
      </c>
      <c r="I51">
        <f t="shared" si="1"/>
        <v>1.1314021114911006</v>
      </c>
      <c r="K51">
        <f t="shared" si="2"/>
        <v>4.3201512309557941</v>
      </c>
      <c r="L51" s="28">
        <v>1</v>
      </c>
      <c r="M51">
        <f t="shared" si="3"/>
        <v>3.1</v>
      </c>
      <c r="O51">
        <f t="shared" si="4"/>
        <v>75.2</v>
      </c>
      <c r="P51" s="28">
        <v>1</v>
      </c>
      <c r="Q51">
        <f t="shared" si="5"/>
        <v>1.1314021114911006</v>
      </c>
    </row>
    <row r="52" spans="3:21">
      <c r="C52" s="36">
        <v>84.7</v>
      </c>
      <c r="D52" s="48">
        <v>1</v>
      </c>
      <c r="E52" s="36">
        <v>3.1</v>
      </c>
      <c r="G52">
        <f t="shared" si="0"/>
        <v>4.4391156016580089</v>
      </c>
      <c r="H52" s="28">
        <v>1</v>
      </c>
      <c r="I52">
        <f t="shared" si="1"/>
        <v>1.1314021114911006</v>
      </c>
      <c r="K52">
        <f t="shared" si="2"/>
        <v>4.4391156016580089</v>
      </c>
      <c r="L52" s="28">
        <v>1</v>
      </c>
      <c r="M52">
        <f t="shared" si="3"/>
        <v>3.1</v>
      </c>
      <c r="O52">
        <f t="shared" si="4"/>
        <v>84.7</v>
      </c>
      <c r="P52" s="28">
        <v>1</v>
      </c>
      <c r="Q52">
        <f t="shared" si="5"/>
        <v>1.1314021114911006</v>
      </c>
    </row>
    <row r="53" spans="3:21">
      <c r="C53" s="36">
        <v>73.7</v>
      </c>
      <c r="D53" s="48">
        <v>1</v>
      </c>
      <c r="E53" s="36">
        <v>0.9</v>
      </c>
      <c r="G53">
        <f t="shared" si="0"/>
        <v>4.3000027991952914</v>
      </c>
      <c r="H53" s="28">
        <v>1</v>
      </c>
      <c r="I53">
        <f t="shared" si="1"/>
        <v>-0.10536051565782628</v>
      </c>
      <c r="K53">
        <f t="shared" si="2"/>
        <v>4.3000027991952914</v>
      </c>
      <c r="L53" s="28">
        <v>1</v>
      </c>
      <c r="M53">
        <f t="shared" si="3"/>
        <v>0.9</v>
      </c>
      <c r="O53">
        <f t="shared" si="4"/>
        <v>73.7</v>
      </c>
      <c r="P53" s="28">
        <v>1</v>
      </c>
      <c r="Q53">
        <f t="shared" si="5"/>
        <v>-0.10536051565782628</v>
      </c>
    </row>
    <row r="54" spans="3:21">
      <c r="C54" s="36">
        <v>81.2</v>
      </c>
      <c r="D54" s="48">
        <v>1</v>
      </c>
      <c r="E54" s="36">
        <v>1.8</v>
      </c>
      <c r="G54">
        <f t="shared" si="0"/>
        <v>4.396915247167632</v>
      </c>
      <c r="H54" s="28">
        <v>1</v>
      </c>
      <c r="I54">
        <f t="shared" si="1"/>
        <v>0.58778666490211906</v>
      </c>
      <c r="K54">
        <f t="shared" si="2"/>
        <v>4.396915247167632</v>
      </c>
      <c r="L54" s="28">
        <v>1</v>
      </c>
      <c r="M54">
        <f t="shared" si="3"/>
        <v>1.8</v>
      </c>
      <c r="O54">
        <f t="shared" si="4"/>
        <v>81.2</v>
      </c>
      <c r="P54" s="28">
        <v>1</v>
      </c>
      <c r="Q54">
        <f t="shared" si="5"/>
        <v>0.58778666490211906</v>
      </c>
    </row>
    <row r="55" spans="3:21">
      <c r="C55" s="36">
        <v>69</v>
      </c>
      <c r="D55" s="48">
        <v>1</v>
      </c>
      <c r="E55" s="36">
        <v>3.1</v>
      </c>
      <c r="G55">
        <f t="shared" si="0"/>
        <v>4.2341065045972597</v>
      </c>
      <c r="H55" s="28">
        <v>1</v>
      </c>
      <c r="I55">
        <f t="shared" si="1"/>
        <v>1.1314021114911006</v>
      </c>
      <c r="K55">
        <f t="shared" si="2"/>
        <v>4.2341065045972597</v>
      </c>
      <c r="L55" s="28">
        <v>1</v>
      </c>
      <c r="M55">
        <f t="shared" si="3"/>
        <v>3.1</v>
      </c>
      <c r="O55">
        <f t="shared" si="4"/>
        <v>69</v>
      </c>
      <c r="P55" s="28">
        <v>1</v>
      </c>
      <c r="Q55">
        <f t="shared" si="5"/>
        <v>1.1314021114911006</v>
      </c>
    </row>
    <row r="56" spans="3:21">
      <c r="C56" s="36">
        <v>69.7</v>
      </c>
      <c r="D56" s="48">
        <v>1</v>
      </c>
      <c r="E56" s="36">
        <v>1.9</v>
      </c>
      <c r="G56">
        <f t="shared" si="0"/>
        <v>4.2442003177664782</v>
      </c>
      <c r="H56" s="28">
        <v>1</v>
      </c>
      <c r="I56">
        <f t="shared" si="1"/>
        <v>0.64185388617239469</v>
      </c>
      <c r="K56">
        <f t="shared" si="2"/>
        <v>4.2442003177664782</v>
      </c>
      <c r="L56" s="28">
        <v>1</v>
      </c>
      <c r="M56">
        <f t="shared" si="3"/>
        <v>1.9</v>
      </c>
      <c r="O56">
        <f t="shared" si="4"/>
        <v>69.7</v>
      </c>
      <c r="P56" s="28">
        <v>1</v>
      </c>
      <c r="Q56">
        <f t="shared" si="5"/>
        <v>0.64185388617239469</v>
      </c>
    </row>
    <row r="57" spans="3:21">
      <c r="C57" s="36">
        <v>78.099999999999994</v>
      </c>
      <c r="D57" s="48">
        <v>1</v>
      </c>
      <c r="E57" s="36">
        <v>0.7</v>
      </c>
      <c r="G57">
        <f t="shared" si="0"/>
        <v>4.3579900568456402</v>
      </c>
      <c r="H57" s="28">
        <v>1</v>
      </c>
      <c r="I57">
        <f t="shared" si="1"/>
        <v>-0.35667494393873245</v>
      </c>
      <c r="K57">
        <f t="shared" si="2"/>
        <v>4.3579900568456402</v>
      </c>
      <c r="L57" s="28">
        <v>1</v>
      </c>
      <c r="M57">
        <f t="shared" si="3"/>
        <v>0.7</v>
      </c>
      <c r="O57">
        <f t="shared" si="4"/>
        <v>78.099999999999994</v>
      </c>
      <c r="P57" s="28">
        <v>1</v>
      </c>
      <c r="Q57">
        <f t="shared" si="5"/>
        <v>-0.35667494393873245</v>
      </c>
    </row>
    <row r="58" spans="3:21">
      <c r="C58" s="36">
        <v>88</v>
      </c>
      <c r="D58" s="48">
        <v>1</v>
      </c>
      <c r="E58" s="36">
        <v>1.6</v>
      </c>
      <c r="G58">
        <f t="shared" si="0"/>
        <v>4.4773368144782069</v>
      </c>
      <c r="H58" s="28">
        <v>1</v>
      </c>
      <c r="I58">
        <f t="shared" si="1"/>
        <v>0.47000362924573563</v>
      </c>
      <c r="K58">
        <f t="shared" si="2"/>
        <v>4.4773368144782069</v>
      </c>
      <c r="L58" s="28">
        <v>1</v>
      </c>
      <c r="M58">
        <f t="shared" si="3"/>
        <v>1.6</v>
      </c>
      <c r="O58">
        <f t="shared" si="4"/>
        <v>88</v>
      </c>
      <c r="P58" s="28">
        <v>1</v>
      </c>
      <c r="Q58">
        <f t="shared" si="5"/>
        <v>0.47000362924573563</v>
      </c>
      <c r="S58" s="38" t="s">
        <v>93</v>
      </c>
      <c r="T58" s="40">
        <f t="array" ref="T58:U59">MMULT(TRANSPOSE(P5:Q79),P5:Q79)</f>
        <v>75</v>
      </c>
      <c r="U58" s="41">
        <v>36.660367361905202</v>
      </c>
    </row>
    <row r="59" spans="3:21">
      <c r="C59" s="36">
        <v>80.400000000000006</v>
      </c>
      <c r="D59" s="48">
        <v>1</v>
      </c>
      <c r="E59" s="36">
        <v>2.9</v>
      </c>
      <c r="G59">
        <f t="shared" si="0"/>
        <v>4.3870141761849206</v>
      </c>
      <c r="H59" s="28">
        <v>1</v>
      </c>
      <c r="I59">
        <f t="shared" si="1"/>
        <v>1.0647107369924282</v>
      </c>
      <c r="K59">
        <f t="shared" si="2"/>
        <v>4.3870141761849206</v>
      </c>
      <c r="L59" s="28">
        <v>1</v>
      </c>
      <c r="M59">
        <f t="shared" si="3"/>
        <v>2.9</v>
      </c>
      <c r="O59">
        <f t="shared" si="4"/>
        <v>80.400000000000006</v>
      </c>
      <c r="P59" s="28">
        <v>1</v>
      </c>
      <c r="Q59">
        <f t="shared" si="5"/>
        <v>1.0647107369924282</v>
      </c>
      <c r="S59" s="38"/>
      <c r="T59" s="40">
        <v>36.660367361905202</v>
      </c>
      <c r="U59" s="41">
        <v>38.774887626952136</v>
      </c>
    </row>
    <row r="60" spans="3:21">
      <c r="C60" s="36">
        <v>79.7</v>
      </c>
      <c r="D60" s="48">
        <v>1</v>
      </c>
      <c r="E60" s="36">
        <v>2.2999999999999998</v>
      </c>
      <c r="G60">
        <f t="shared" si="0"/>
        <v>4.3782695857961693</v>
      </c>
      <c r="H60" s="28">
        <v>1</v>
      </c>
      <c r="I60">
        <f t="shared" si="1"/>
        <v>0.83290912293510388</v>
      </c>
      <c r="K60">
        <f t="shared" si="2"/>
        <v>4.3782695857961693</v>
      </c>
      <c r="L60" s="28">
        <v>1</v>
      </c>
      <c r="M60">
        <f t="shared" si="3"/>
        <v>2.2999999999999998</v>
      </c>
      <c r="O60">
        <f t="shared" si="4"/>
        <v>79.7</v>
      </c>
      <c r="P60" s="28">
        <v>1</v>
      </c>
      <c r="Q60">
        <f t="shared" si="5"/>
        <v>0.83290912293510388</v>
      </c>
      <c r="S60" s="38"/>
    </row>
    <row r="61" spans="3:21" ht="17.25">
      <c r="C61" s="36">
        <v>73.2</v>
      </c>
      <c r="D61" s="48">
        <v>1</v>
      </c>
      <c r="E61" s="36">
        <v>1.7</v>
      </c>
      <c r="G61">
        <f t="shared" si="0"/>
        <v>4.2931954209672663</v>
      </c>
      <c r="H61" s="28">
        <v>1</v>
      </c>
      <c r="I61">
        <f t="shared" si="1"/>
        <v>0.53062825106217038</v>
      </c>
      <c r="K61">
        <f t="shared" si="2"/>
        <v>4.2931954209672663</v>
      </c>
      <c r="L61" s="28">
        <v>1</v>
      </c>
      <c r="M61">
        <f t="shared" si="3"/>
        <v>1.7</v>
      </c>
      <c r="O61">
        <f t="shared" si="4"/>
        <v>73.2</v>
      </c>
      <c r="P61" s="28">
        <v>1</v>
      </c>
      <c r="Q61">
        <f t="shared" si="5"/>
        <v>0.53062825106217038</v>
      </c>
      <c r="S61" s="38" t="s">
        <v>94</v>
      </c>
      <c r="T61" s="40">
        <f t="array" ref="T61:U62">MINVERSE(T58:U59)</f>
        <v>2.4790003101981224E-2</v>
      </c>
      <c r="U61" s="41">
        <v>-2.3438123905475707E-2</v>
      </c>
    </row>
    <row r="62" spans="3:21">
      <c r="C62" s="36">
        <v>85.9</v>
      </c>
      <c r="D62" s="48">
        <v>1</v>
      </c>
      <c r="E62" s="36">
        <v>1.8</v>
      </c>
      <c r="G62">
        <f t="shared" si="0"/>
        <v>4.4531838289902099</v>
      </c>
      <c r="H62" s="28">
        <v>1</v>
      </c>
      <c r="I62">
        <f t="shared" si="1"/>
        <v>0.58778666490211906</v>
      </c>
      <c r="K62">
        <f t="shared" si="2"/>
        <v>4.4531838289902099</v>
      </c>
      <c r="L62" s="28">
        <v>1</v>
      </c>
      <c r="M62">
        <f t="shared" si="3"/>
        <v>1.8</v>
      </c>
      <c r="O62">
        <f t="shared" si="4"/>
        <v>85.9</v>
      </c>
      <c r="P62" s="28">
        <v>1</v>
      </c>
      <c r="Q62">
        <f t="shared" si="5"/>
        <v>0.58778666490211906</v>
      </c>
      <c r="T62" s="40">
        <v>-2.343812390547571E-2</v>
      </c>
      <c r="U62" s="41">
        <v>4.7949854827077323E-2</v>
      </c>
    </row>
    <row r="63" spans="3:21">
      <c r="C63" s="36">
        <v>83.3</v>
      </c>
      <c r="D63" s="48">
        <v>1</v>
      </c>
      <c r="E63" s="36">
        <v>0.6</v>
      </c>
      <c r="G63">
        <f t="shared" si="0"/>
        <v>4.4224485491727972</v>
      </c>
      <c r="H63" s="28">
        <v>1</v>
      </c>
      <c r="I63">
        <f t="shared" si="1"/>
        <v>-0.51082562376599072</v>
      </c>
      <c r="K63">
        <f t="shared" si="2"/>
        <v>4.4224485491727972</v>
      </c>
      <c r="L63" s="28">
        <v>1</v>
      </c>
      <c r="M63">
        <f t="shared" si="3"/>
        <v>0.6</v>
      </c>
      <c r="O63">
        <f t="shared" si="4"/>
        <v>83.3</v>
      </c>
      <c r="P63" s="28">
        <v>1</v>
      </c>
      <c r="Q63">
        <f t="shared" si="5"/>
        <v>-0.51082562376599072</v>
      </c>
    </row>
    <row r="64" spans="3:21">
      <c r="C64" s="36">
        <v>73.599999999999994</v>
      </c>
      <c r="D64" s="48">
        <v>1</v>
      </c>
      <c r="E64" s="36">
        <v>3.1</v>
      </c>
      <c r="G64">
        <f t="shared" si="0"/>
        <v>4.2986450257348308</v>
      </c>
      <c r="H64" s="28">
        <v>1</v>
      </c>
      <c r="I64">
        <f t="shared" si="1"/>
        <v>1.1314021114911006</v>
      </c>
      <c r="K64">
        <f t="shared" si="2"/>
        <v>4.2986450257348308</v>
      </c>
      <c r="L64" s="28">
        <v>1</v>
      </c>
      <c r="M64">
        <f t="shared" si="3"/>
        <v>3.1</v>
      </c>
      <c r="O64">
        <f t="shared" si="4"/>
        <v>73.599999999999994</v>
      </c>
      <c r="P64" s="28">
        <v>1</v>
      </c>
      <c r="Q64">
        <f t="shared" si="5"/>
        <v>1.1314021114911006</v>
      </c>
      <c r="S64" s="38" t="s">
        <v>95</v>
      </c>
      <c r="T64" s="42">
        <f t="array" ref="T64:T65">MMULT(TRANSPOSE(P5:Q79),O5:O79)</f>
        <v>5803.0999999999985</v>
      </c>
    </row>
    <row r="65" spans="3:20">
      <c r="C65" s="36">
        <v>79.2</v>
      </c>
      <c r="D65" s="48">
        <v>1</v>
      </c>
      <c r="E65" s="36">
        <v>1.2</v>
      </c>
      <c r="G65">
        <f t="shared" si="0"/>
        <v>4.3719762988203801</v>
      </c>
      <c r="H65" s="28">
        <v>1</v>
      </c>
      <c r="I65">
        <f t="shared" si="1"/>
        <v>0.18232155679395459</v>
      </c>
      <c r="K65">
        <f t="shared" si="2"/>
        <v>4.3719762988203801</v>
      </c>
      <c r="L65" s="28">
        <v>1</v>
      </c>
      <c r="M65">
        <f t="shared" si="3"/>
        <v>1.2</v>
      </c>
      <c r="O65">
        <f t="shared" si="4"/>
        <v>79.2</v>
      </c>
      <c r="P65" s="28">
        <v>1</v>
      </c>
      <c r="Q65">
        <f t="shared" si="5"/>
        <v>0.18232155679395459</v>
      </c>
      <c r="T65" s="42">
        <v>2908.1228415559203</v>
      </c>
    </row>
    <row r="66" spans="3:20">
      <c r="C66" s="36">
        <v>88.1</v>
      </c>
      <c r="D66" s="48">
        <v>1</v>
      </c>
      <c r="E66" s="36">
        <v>2.1</v>
      </c>
      <c r="G66">
        <f t="shared" si="0"/>
        <v>4.478472532942134</v>
      </c>
      <c r="H66" s="28">
        <v>1</v>
      </c>
      <c r="I66">
        <f t="shared" si="1"/>
        <v>0.74193734472937733</v>
      </c>
      <c r="K66">
        <f t="shared" si="2"/>
        <v>4.478472532942134</v>
      </c>
      <c r="L66" s="28">
        <v>1</v>
      </c>
      <c r="M66">
        <f t="shared" si="3"/>
        <v>2.1</v>
      </c>
      <c r="O66">
        <f t="shared" si="4"/>
        <v>88.1</v>
      </c>
      <c r="P66" s="28">
        <v>1</v>
      </c>
      <c r="Q66">
        <f t="shared" si="5"/>
        <v>0.74193734472937733</v>
      </c>
    </row>
    <row r="67" spans="3:20">
      <c r="C67" s="36">
        <v>64.5</v>
      </c>
      <c r="D67" s="48">
        <v>1</v>
      </c>
      <c r="E67" s="36">
        <v>0.5</v>
      </c>
      <c r="G67">
        <f t="shared" si="0"/>
        <v>4.1666652238017265</v>
      </c>
      <c r="H67" s="28">
        <v>1</v>
      </c>
      <c r="I67">
        <f t="shared" si="1"/>
        <v>-0.69314718055994529</v>
      </c>
      <c r="K67">
        <f t="shared" si="2"/>
        <v>4.1666652238017265</v>
      </c>
      <c r="L67" s="28">
        <v>1</v>
      </c>
      <c r="M67">
        <f t="shared" si="3"/>
        <v>0.5</v>
      </c>
      <c r="O67">
        <f t="shared" si="4"/>
        <v>64.5</v>
      </c>
      <c r="P67" s="28">
        <v>1</v>
      </c>
      <c r="Q67">
        <f t="shared" si="5"/>
        <v>-0.69314718055994529</v>
      </c>
    </row>
    <row r="68" spans="3:20">
      <c r="C68" s="36">
        <v>84.1</v>
      </c>
      <c r="D68" s="48">
        <v>1</v>
      </c>
      <c r="E68" s="36">
        <v>2.9</v>
      </c>
      <c r="G68">
        <f t="shared" si="0"/>
        <v>4.4320065669789024</v>
      </c>
      <c r="H68" s="28">
        <v>1</v>
      </c>
      <c r="I68">
        <f t="shared" si="1"/>
        <v>1.0647107369924282</v>
      </c>
      <c r="K68">
        <f t="shared" si="2"/>
        <v>4.4320065669789024</v>
      </c>
      <c r="L68" s="28">
        <v>1</v>
      </c>
      <c r="M68">
        <f t="shared" si="3"/>
        <v>2.9</v>
      </c>
      <c r="O68">
        <f t="shared" si="4"/>
        <v>84.1</v>
      </c>
      <c r="P68" s="28">
        <v>1</v>
      </c>
      <c r="Q68">
        <f t="shared" si="5"/>
        <v>1.0647107369924282</v>
      </c>
      <c r="S68" s="39" t="s">
        <v>96</v>
      </c>
      <c r="T68" s="42">
        <f t="array" ref="T68:T69">MMULT(T61:U62,T64:T65)</f>
        <v>75.697923508375439</v>
      </c>
    </row>
    <row r="69" spans="3:20">
      <c r="C69" s="36">
        <v>91.2</v>
      </c>
      <c r="D69" s="48">
        <v>1</v>
      </c>
      <c r="E69" s="36">
        <v>1.6</v>
      </c>
      <c r="G69">
        <f t="shared" si="0"/>
        <v>4.513054897080286</v>
      </c>
      <c r="H69" s="28">
        <v>1</v>
      </c>
      <c r="I69">
        <f t="shared" si="1"/>
        <v>0.47000362924573563</v>
      </c>
      <c r="K69">
        <f t="shared" si="2"/>
        <v>4.513054897080286</v>
      </c>
      <c r="L69" s="28">
        <v>1</v>
      </c>
      <c r="M69">
        <f t="shared" si="3"/>
        <v>1.6</v>
      </c>
      <c r="O69">
        <f t="shared" si="4"/>
        <v>91.2</v>
      </c>
      <c r="P69" s="28">
        <v>1</v>
      </c>
      <c r="Q69">
        <f t="shared" si="5"/>
        <v>0.47000362924573563</v>
      </c>
      <c r="T69" s="42">
        <v>3.430291236047907</v>
      </c>
    </row>
    <row r="70" spans="3:20">
      <c r="C70" s="36">
        <v>71.8</v>
      </c>
      <c r="D70" s="48">
        <v>1</v>
      </c>
      <c r="E70" s="36">
        <v>1.5</v>
      </c>
      <c r="G70">
        <f t="shared" ref="G70:G79" si="6">LN(C70)</f>
        <v>4.2738844760541781</v>
      </c>
      <c r="H70" s="28">
        <v>1</v>
      </c>
      <c r="I70">
        <f t="shared" ref="I70:I79" si="7">LN(E70)</f>
        <v>0.40546510810816438</v>
      </c>
      <c r="K70">
        <f t="shared" ref="K70:K79" si="8">LN(C70)</f>
        <v>4.2738844760541781</v>
      </c>
      <c r="L70" s="28">
        <v>1</v>
      </c>
      <c r="M70">
        <f t="shared" ref="M70:M79" si="9">E70</f>
        <v>1.5</v>
      </c>
      <c r="O70">
        <f t="shared" ref="O70:O79" si="10">C70</f>
        <v>71.8</v>
      </c>
      <c r="P70" s="28">
        <v>1</v>
      </c>
      <c r="Q70">
        <f t="shared" ref="Q70:Q79" si="11">LN(E70)</f>
        <v>0.40546510810816438</v>
      </c>
    </row>
    <row r="71" spans="3:20">
      <c r="C71" s="36">
        <v>80.599999999999994</v>
      </c>
      <c r="D71" s="48">
        <v>1</v>
      </c>
      <c r="E71" s="36">
        <v>2</v>
      </c>
      <c r="G71">
        <f t="shared" si="6"/>
        <v>4.389498649512583</v>
      </c>
      <c r="H71" s="28">
        <v>1</v>
      </c>
      <c r="I71">
        <f t="shared" si="7"/>
        <v>0.69314718055994529</v>
      </c>
      <c r="K71">
        <f t="shared" si="8"/>
        <v>4.389498649512583</v>
      </c>
      <c r="L71" s="28">
        <v>1</v>
      </c>
      <c r="M71">
        <f t="shared" si="9"/>
        <v>2</v>
      </c>
      <c r="O71">
        <f t="shared" si="10"/>
        <v>80.599999999999994</v>
      </c>
      <c r="P71" s="28">
        <v>1</v>
      </c>
      <c r="Q71">
        <f t="shared" si="11"/>
        <v>0.69314718055994529</v>
      </c>
    </row>
    <row r="72" spans="3:20">
      <c r="C72" s="36">
        <v>73.099999999999994</v>
      </c>
      <c r="D72" s="48">
        <v>1</v>
      </c>
      <c r="E72" s="36">
        <v>1.3</v>
      </c>
      <c r="G72">
        <f t="shared" si="6"/>
        <v>4.2918283667557331</v>
      </c>
      <c r="H72" s="28">
        <v>1</v>
      </c>
      <c r="I72">
        <f t="shared" si="7"/>
        <v>0.26236426446749106</v>
      </c>
      <c r="K72">
        <f t="shared" si="8"/>
        <v>4.2918283667557331</v>
      </c>
      <c r="L72" s="28">
        <v>1</v>
      </c>
      <c r="M72">
        <f t="shared" si="9"/>
        <v>1.3</v>
      </c>
      <c r="O72">
        <f t="shared" si="10"/>
        <v>73.099999999999994</v>
      </c>
      <c r="P72" s="28">
        <v>1</v>
      </c>
      <c r="Q72">
        <f t="shared" si="11"/>
        <v>0.26236426446749106</v>
      </c>
    </row>
    <row r="73" spans="3:20">
      <c r="C73" s="36">
        <v>81</v>
      </c>
      <c r="D73" s="48">
        <v>1</v>
      </c>
      <c r="E73" s="36">
        <v>1.1000000000000001</v>
      </c>
      <c r="G73">
        <f t="shared" si="6"/>
        <v>4.3944491546724391</v>
      </c>
      <c r="H73" s="28">
        <v>1</v>
      </c>
      <c r="I73">
        <f t="shared" si="7"/>
        <v>9.5310179804324935E-2</v>
      </c>
      <c r="K73">
        <f t="shared" si="8"/>
        <v>4.3944491546724391</v>
      </c>
      <c r="L73" s="28">
        <v>1</v>
      </c>
      <c r="M73">
        <f t="shared" si="9"/>
        <v>1.1000000000000001</v>
      </c>
      <c r="O73">
        <f t="shared" si="10"/>
        <v>81</v>
      </c>
      <c r="P73" s="28">
        <v>1</v>
      </c>
      <c r="Q73">
        <f t="shared" si="11"/>
        <v>9.5310179804324935E-2</v>
      </c>
    </row>
    <row r="74" spans="3:20">
      <c r="C74" s="36">
        <v>73.7</v>
      </c>
      <c r="D74" s="48">
        <v>1</v>
      </c>
      <c r="E74" s="36">
        <v>2.2000000000000002</v>
      </c>
      <c r="G74">
        <f t="shared" si="6"/>
        <v>4.3000027991952914</v>
      </c>
      <c r="H74" s="28">
        <v>1</v>
      </c>
      <c r="I74">
        <f t="shared" si="7"/>
        <v>0.78845736036427028</v>
      </c>
      <c r="K74">
        <f t="shared" si="8"/>
        <v>4.3000027991952914</v>
      </c>
      <c r="L74" s="28">
        <v>1</v>
      </c>
      <c r="M74">
        <f t="shared" si="9"/>
        <v>2.2000000000000002</v>
      </c>
      <c r="O74">
        <f t="shared" si="10"/>
        <v>73.7</v>
      </c>
      <c r="P74" s="28">
        <v>1</v>
      </c>
      <c r="Q74">
        <f t="shared" si="11"/>
        <v>0.78845736036427028</v>
      </c>
    </row>
    <row r="75" spans="3:20">
      <c r="C75" s="36">
        <v>82.2</v>
      </c>
      <c r="D75" s="48">
        <v>1</v>
      </c>
      <c r="E75" s="36">
        <v>1.7</v>
      </c>
      <c r="G75">
        <f t="shared" si="6"/>
        <v>4.4091553020621346</v>
      </c>
      <c r="H75" s="28">
        <v>1</v>
      </c>
      <c r="I75">
        <f t="shared" si="7"/>
        <v>0.53062825106217038</v>
      </c>
      <c r="K75">
        <f t="shared" si="8"/>
        <v>4.4091553020621346</v>
      </c>
      <c r="L75" s="28">
        <v>1</v>
      </c>
      <c r="M75">
        <f t="shared" si="9"/>
        <v>1.7</v>
      </c>
      <c r="O75">
        <f t="shared" si="10"/>
        <v>82.2</v>
      </c>
      <c r="P75" s="28">
        <v>1</v>
      </c>
      <c r="Q75">
        <f t="shared" si="11"/>
        <v>0.53062825106217038</v>
      </c>
    </row>
    <row r="76" spans="3:20">
      <c r="C76" s="36">
        <v>74.2</v>
      </c>
      <c r="D76" s="48">
        <v>1</v>
      </c>
      <c r="E76" s="36">
        <v>0.7</v>
      </c>
      <c r="G76">
        <f t="shared" si="6"/>
        <v>4.3067641501733345</v>
      </c>
      <c r="H76" s="28">
        <v>1</v>
      </c>
      <c r="I76">
        <f t="shared" si="7"/>
        <v>-0.35667494393873245</v>
      </c>
      <c r="K76">
        <f t="shared" si="8"/>
        <v>4.3067641501733345</v>
      </c>
      <c r="L76" s="28">
        <v>1</v>
      </c>
      <c r="M76">
        <f t="shared" si="9"/>
        <v>0.7</v>
      </c>
      <c r="O76">
        <f t="shared" si="10"/>
        <v>74.2</v>
      </c>
      <c r="P76" s="28">
        <v>1</v>
      </c>
      <c r="Q76">
        <f t="shared" si="11"/>
        <v>-0.35667494393873245</v>
      </c>
    </row>
    <row r="77" spans="3:20">
      <c r="C77" s="36">
        <v>75.400000000000006</v>
      </c>
      <c r="D77" s="48">
        <v>1</v>
      </c>
      <c r="E77" s="36">
        <v>0.7</v>
      </c>
      <c r="G77">
        <f t="shared" si="6"/>
        <v>4.3228072750139104</v>
      </c>
      <c r="H77" s="28">
        <v>1</v>
      </c>
      <c r="I77">
        <f t="shared" si="7"/>
        <v>-0.35667494393873245</v>
      </c>
      <c r="K77">
        <f t="shared" si="8"/>
        <v>4.3228072750139104</v>
      </c>
      <c r="L77" s="28">
        <v>1</v>
      </c>
      <c r="M77">
        <f t="shared" si="9"/>
        <v>0.7</v>
      </c>
      <c r="O77">
        <f t="shared" si="10"/>
        <v>75.400000000000006</v>
      </c>
      <c r="P77" s="28">
        <v>1</v>
      </c>
      <c r="Q77">
        <f t="shared" si="11"/>
        <v>-0.35667494393873245</v>
      </c>
    </row>
    <row r="78" spans="3:20">
      <c r="C78" s="36">
        <v>81.3</v>
      </c>
      <c r="D78" s="48">
        <v>1</v>
      </c>
      <c r="E78" s="36">
        <v>2</v>
      </c>
      <c r="G78">
        <f t="shared" si="6"/>
        <v>4.3981460165537651</v>
      </c>
      <c r="H78" s="28">
        <v>1</v>
      </c>
      <c r="I78">
        <f t="shared" si="7"/>
        <v>0.69314718055994529</v>
      </c>
      <c r="K78">
        <f t="shared" si="8"/>
        <v>4.3981460165537651</v>
      </c>
      <c r="L78" s="28">
        <v>1</v>
      </c>
      <c r="M78">
        <f t="shared" si="9"/>
        <v>2</v>
      </c>
      <c r="O78">
        <f t="shared" si="10"/>
        <v>81.3</v>
      </c>
      <c r="P78" s="28">
        <v>1</v>
      </c>
      <c r="Q78">
        <f t="shared" si="11"/>
        <v>0.69314718055994529</v>
      </c>
    </row>
    <row r="79" spans="3:20">
      <c r="C79" s="36">
        <v>75</v>
      </c>
      <c r="D79" s="48">
        <v>1</v>
      </c>
      <c r="E79" s="36">
        <v>2.2000000000000002</v>
      </c>
      <c r="G79">
        <f t="shared" si="6"/>
        <v>4.3174881135363101</v>
      </c>
      <c r="H79" s="28">
        <v>1</v>
      </c>
      <c r="I79">
        <f t="shared" si="7"/>
        <v>0.78845736036427028</v>
      </c>
      <c r="K79">
        <f t="shared" si="8"/>
        <v>4.3174881135363101</v>
      </c>
      <c r="L79" s="28">
        <v>1</v>
      </c>
      <c r="M79">
        <f t="shared" si="9"/>
        <v>2.2000000000000002</v>
      </c>
      <c r="O79">
        <f t="shared" si="10"/>
        <v>75</v>
      </c>
      <c r="P79" s="28">
        <v>1</v>
      </c>
      <c r="Q79">
        <f t="shared" si="11"/>
        <v>0.78845736036427028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4:M90"/>
  <sheetViews>
    <sheetView workbookViewId="0">
      <selection activeCell="I6" sqref="I6:I24"/>
    </sheetView>
  </sheetViews>
  <sheetFormatPr defaultRowHeight="15"/>
  <cols>
    <col min="9" max="9" width="13.85546875" bestFit="1" customWidth="1"/>
  </cols>
  <sheetData>
    <row r="4" spans="2:13" ht="17.25">
      <c r="B4" s="45" t="s">
        <v>51</v>
      </c>
      <c r="C4" s="45" t="s">
        <v>92</v>
      </c>
      <c r="D4" s="45" t="s">
        <v>50</v>
      </c>
      <c r="E4" s="45" t="s">
        <v>49</v>
      </c>
      <c r="F4" s="45" t="s">
        <v>113</v>
      </c>
      <c r="G4" s="45" t="s">
        <v>115</v>
      </c>
      <c r="H4" s="45"/>
    </row>
    <row r="5" spans="2:13">
      <c r="B5" s="36">
        <v>73.2</v>
      </c>
      <c r="C5" s="48">
        <v>1</v>
      </c>
      <c r="D5" s="36">
        <v>5.69</v>
      </c>
      <c r="E5" s="36">
        <v>1.3</v>
      </c>
      <c r="F5">
        <f>E5^2</f>
        <v>1.6900000000000002</v>
      </c>
      <c r="G5">
        <f>(B5-(J$22+J$23*D5+J$24*E5+J$25*F5))^2</f>
        <v>17.357093612875584</v>
      </c>
      <c r="J5" s="40">
        <f t="array" ref="J5:M8">MMULT(TRANSPOSE(C5:F79),C5:F79)</f>
        <v>75</v>
      </c>
      <c r="K5" s="50">
        <v>426.54000000000013</v>
      </c>
      <c r="L5" s="50">
        <v>138.2999999999999</v>
      </c>
      <c r="M5" s="41">
        <v>306.21000000000004</v>
      </c>
    </row>
    <row r="6" spans="2:13">
      <c r="B6" s="36">
        <v>71.8</v>
      </c>
      <c r="C6" s="48">
        <v>1</v>
      </c>
      <c r="D6" s="36">
        <v>6.49</v>
      </c>
      <c r="E6" s="36">
        <v>2.9</v>
      </c>
      <c r="F6">
        <f t="shared" ref="F6:F69" si="0">E6^2</f>
        <v>8.41</v>
      </c>
      <c r="G6">
        <f t="shared" ref="G6:G69" si="1">(B6-(J$22+J$23*D6+J$24*E6+J$25*F6))^2</f>
        <v>8.7290485179679814E-2</v>
      </c>
      <c r="I6" s="38" t="s">
        <v>93</v>
      </c>
      <c r="J6" s="40">
        <v>426.54000000000013</v>
      </c>
      <c r="K6" s="50">
        <v>2445.7073999999998</v>
      </c>
      <c r="L6" s="50">
        <v>787.38100000000009</v>
      </c>
      <c r="M6" s="41">
        <v>1746.5290999999991</v>
      </c>
    </row>
    <row r="7" spans="2:13">
      <c r="B7" s="36">
        <v>62.4</v>
      </c>
      <c r="C7" s="48">
        <v>1</v>
      </c>
      <c r="D7" s="36">
        <v>5.63</v>
      </c>
      <c r="E7" s="36">
        <v>0.8</v>
      </c>
      <c r="F7">
        <f t="shared" si="0"/>
        <v>0.64000000000000012</v>
      </c>
      <c r="G7">
        <f t="shared" si="1"/>
        <v>150.19306309597752</v>
      </c>
      <c r="I7" s="38"/>
      <c r="J7" s="40">
        <v>138.2999999999999</v>
      </c>
      <c r="K7" s="50">
        <v>787.38100000000009</v>
      </c>
      <c r="L7" s="50">
        <v>306.21000000000004</v>
      </c>
      <c r="M7" s="41">
        <v>754.98900000000003</v>
      </c>
    </row>
    <row r="8" spans="2:13">
      <c r="B8" s="36">
        <v>67.400000000000006</v>
      </c>
      <c r="C8" s="48">
        <v>1</v>
      </c>
      <c r="D8" s="36">
        <v>6.22</v>
      </c>
      <c r="E8" s="36">
        <v>0.7</v>
      </c>
      <c r="F8">
        <f t="shared" si="0"/>
        <v>0.48999999999999994</v>
      </c>
      <c r="G8">
        <f t="shared" si="1"/>
        <v>3.7939202534177441</v>
      </c>
      <c r="J8" s="40">
        <v>306.21000000000004</v>
      </c>
      <c r="K8" s="50">
        <v>1746.5290999999991</v>
      </c>
      <c r="L8" s="50">
        <v>754.98900000000003</v>
      </c>
      <c r="M8" s="41">
        <v>1982.5664999999999</v>
      </c>
    </row>
    <row r="9" spans="2:13">
      <c r="B9" s="36">
        <v>89.3</v>
      </c>
      <c r="C9" s="48">
        <v>1</v>
      </c>
      <c r="D9" s="36">
        <v>5.0199999999999996</v>
      </c>
      <c r="E9" s="36">
        <v>1.5</v>
      </c>
      <c r="F9">
        <f t="shared" si="0"/>
        <v>2.25</v>
      </c>
      <c r="G9">
        <f t="shared" si="1"/>
        <v>35.222179028465099</v>
      </c>
    </row>
    <row r="10" spans="2:13">
      <c r="B10" s="36">
        <v>70.3</v>
      </c>
      <c r="C10" s="48">
        <v>1</v>
      </c>
      <c r="D10" s="36">
        <v>6.41</v>
      </c>
      <c r="E10" s="36">
        <v>1.3</v>
      </c>
      <c r="F10">
        <f t="shared" si="0"/>
        <v>1.6900000000000002</v>
      </c>
      <c r="G10">
        <f t="shared" si="1"/>
        <v>2.4504286762382135</v>
      </c>
    </row>
    <row r="11" spans="2:13">
      <c r="B11" s="36">
        <v>73.2</v>
      </c>
      <c r="C11" s="48">
        <v>1</v>
      </c>
      <c r="D11" s="36">
        <v>5.85</v>
      </c>
      <c r="E11" s="36">
        <v>1.8</v>
      </c>
      <c r="F11">
        <f t="shared" si="0"/>
        <v>3.24</v>
      </c>
      <c r="G11">
        <f t="shared" si="1"/>
        <v>22.364004536659525</v>
      </c>
      <c r="J11" s="40">
        <f t="array" ref="J11:M14">MINVERSE(J5:M8)</f>
        <v>2.1422568042061974</v>
      </c>
      <c r="K11" s="50">
        <v>-0.29779952497242423</v>
      </c>
      <c r="L11" s="50">
        <v>-0.53761277015014253</v>
      </c>
      <c r="M11" s="41">
        <v>0.13620063086782719</v>
      </c>
    </row>
    <row r="12" spans="2:13" ht="17.25">
      <c r="B12" s="36">
        <v>86.1</v>
      </c>
      <c r="C12" s="48">
        <v>1</v>
      </c>
      <c r="D12" s="36">
        <v>5.41</v>
      </c>
      <c r="E12" s="36">
        <v>2.4</v>
      </c>
      <c r="F12">
        <f t="shared" si="0"/>
        <v>5.76</v>
      </c>
      <c r="G12">
        <f t="shared" si="1"/>
        <v>20.194831459885854</v>
      </c>
      <c r="I12" s="38" t="s">
        <v>94</v>
      </c>
      <c r="J12" s="40">
        <v>-0.29779952497242468</v>
      </c>
      <c r="K12" s="50">
        <v>5.0697700191537534E-2</v>
      </c>
      <c r="L12" s="50">
        <v>1.3921453992357289E-2</v>
      </c>
      <c r="M12" s="41">
        <v>-3.9677664149097968E-3</v>
      </c>
    </row>
    <row r="13" spans="2:13">
      <c r="B13" s="36">
        <v>81</v>
      </c>
      <c r="C13" s="48">
        <v>1</v>
      </c>
      <c r="D13" s="36">
        <v>6.24</v>
      </c>
      <c r="E13" s="36">
        <v>0.7</v>
      </c>
      <c r="F13">
        <f t="shared" si="0"/>
        <v>0.48999999999999994</v>
      </c>
      <c r="G13">
        <f t="shared" si="1"/>
        <v>139.35805281431126</v>
      </c>
      <c r="J13" s="40">
        <v>-0.53761277015013276</v>
      </c>
      <c r="K13" s="50">
        <v>1.3921453992355583E-2</v>
      </c>
      <c r="L13" s="50">
        <v>0.58605609852453955</v>
      </c>
      <c r="M13" s="41">
        <v>-0.15240735982032966</v>
      </c>
    </row>
    <row r="14" spans="2:13">
      <c r="B14" s="36">
        <v>76.400000000000006</v>
      </c>
      <c r="C14" s="48">
        <v>1</v>
      </c>
      <c r="D14" s="36">
        <v>6.2</v>
      </c>
      <c r="E14" s="36">
        <v>3</v>
      </c>
      <c r="F14">
        <f t="shared" si="0"/>
        <v>9</v>
      </c>
      <c r="G14">
        <f t="shared" si="1"/>
        <v>6.2846730193613602</v>
      </c>
      <c r="J14" s="40">
        <v>0.13620063086782455</v>
      </c>
      <c r="K14" s="50">
        <v>-3.9677664149093328E-3</v>
      </c>
      <c r="L14" s="50">
        <v>-0.15240735982032969</v>
      </c>
      <c r="M14" s="41">
        <v>4.1002258693968723E-2</v>
      </c>
    </row>
    <row r="15" spans="2:13">
      <c r="B15" s="36">
        <v>76.599999999999994</v>
      </c>
      <c r="C15" s="48">
        <v>1</v>
      </c>
      <c r="D15" s="36">
        <v>5.48</v>
      </c>
      <c r="E15" s="36">
        <v>2.8</v>
      </c>
      <c r="F15">
        <f t="shared" si="0"/>
        <v>7.839999999999999</v>
      </c>
      <c r="G15">
        <f t="shared" si="1"/>
        <v>12.776800470424062</v>
      </c>
    </row>
    <row r="16" spans="2:13">
      <c r="B16" s="36">
        <v>82.2</v>
      </c>
      <c r="C16" s="48">
        <v>1</v>
      </c>
      <c r="D16" s="36">
        <v>6.14</v>
      </c>
      <c r="E16" s="36">
        <v>2.7</v>
      </c>
      <c r="F16">
        <f t="shared" si="0"/>
        <v>7.2900000000000009</v>
      </c>
      <c r="G16">
        <f t="shared" si="1"/>
        <v>45.706778253220961</v>
      </c>
      <c r="J16" s="42">
        <f t="array" ref="J16:J19">MMULT(TRANSPOSE(C5:F79),B5:B79)</f>
        <v>5803.0999999999985</v>
      </c>
    </row>
    <row r="17" spans="2:13">
      <c r="B17" s="36">
        <v>82.1</v>
      </c>
      <c r="C17" s="48">
        <v>1</v>
      </c>
      <c r="D17" s="36">
        <v>5.37</v>
      </c>
      <c r="E17" s="36">
        <v>2.8</v>
      </c>
      <c r="F17">
        <f t="shared" si="0"/>
        <v>7.839999999999999</v>
      </c>
      <c r="G17">
        <f t="shared" si="1"/>
        <v>1.1775178280809979</v>
      </c>
      <c r="I17" s="38" t="s">
        <v>95</v>
      </c>
      <c r="J17" s="42">
        <v>32847.676999999996</v>
      </c>
      <c r="L17" s="39" t="s">
        <v>114</v>
      </c>
      <c r="M17">
        <f>(G80/(75-4))^0.5</f>
        <v>4.6452830212970895</v>
      </c>
    </row>
    <row r="18" spans="2:13">
      <c r="B18" s="36">
        <v>68.599999999999994</v>
      </c>
      <c r="C18" s="48">
        <v>1</v>
      </c>
      <c r="D18" s="36">
        <v>6.45</v>
      </c>
      <c r="E18" s="36">
        <v>2.8</v>
      </c>
      <c r="F18">
        <f t="shared" si="0"/>
        <v>7.839999999999999</v>
      </c>
      <c r="G18">
        <f t="shared" si="1"/>
        <v>17.33610645614656</v>
      </c>
      <c r="J18" s="42">
        <v>10789.600000000002</v>
      </c>
    </row>
    <row r="19" spans="2:13">
      <c r="B19" s="36">
        <v>76.5</v>
      </c>
      <c r="C19" s="48">
        <v>1</v>
      </c>
      <c r="D19" s="36">
        <v>5.35</v>
      </c>
      <c r="E19" s="36">
        <v>2.2999999999999998</v>
      </c>
      <c r="F19">
        <f t="shared" si="0"/>
        <v>5.2899999999999991</v>
      </c>
      <c r="G19">
        <f t="shared" si="1"/>
        <v>31.926490210588554</v>
      </c>
      <c r="J19" s="42">
        <v>23939.962</v>
      </c>
    </row>
    <row r="20" spans="2:13">
      <c r="B20" s="36">
        <v>80.3</v>
      </c>
      <c r="C20" s="48">
        <v>1</v>
      </c>
      <c r="D20" s="36">
        <v>5.22</v>
      </c>
      <c r="E20" s="36">
        <v>1.7</v>
      </c>
      <c r="F20">
        <f t="shared" si="0"/>
        <v>2.8899999999999997</v>
      </c>
      <c r="G20">
        <f t="shared" si="1"/>
        <v>4.8220783418179938</v>
      </c>
    </row>
    <row r="21" spans="2:13">
      <c r="B21" s="36">
        <v>70.7</v>
      </c>
      <c r="C21" s="48">
        <v>1</v>
      </c>
      <c r="D21" s="36">
        <v>5.89</v>
      </c>
      <c r="E21" s="36">
        <v>1.5</v>
      </c>
      <c r="F21">
        <f t="shared" si="0"/>
        <v>2.25</v>
      </c>
      <c r="G21">
        <f t="shared" si="1"/>
        <v>36.220805587495384</v>
      </c>
    </row>
    <row r="22" spans="2:13">
      <c r="B22" s="36">
        <v>75</v>
      </c>
      <c r="C22" s="48">
        <v>1</v>
      </c>
      <c r="D22" s="36">
        <v>5.21</v>
      </c>
      <c r="E22" s="36">
        <v>0.8</v>
      </c>
      <c r="F22">
        <f t="shared" si="0"/>
        <v>0.64000000000000012</v>
      </c>
      <c r="G22">
        <f t="shared" si="1"/>
        <v>8.2032289824774463</v>
      </c>
      <c r="J22" s="42">
        <f t="array" ref="J22:J25">MMULT(J11:M14,J16:J19)</f>
        <v>109.71903598118888</v>
      </c>
    </row>
    <row r="23" spans="2:13">
      <c r="B23" s="36">
        <v>73.7</v>
      </c>
      <c r="C23" s="48">
        <v>1</v>
      </c>
      <c r="D23" s="36">
        <v>6</v>
      </c>
      <c r="E23" s="36">
        <v>2.9</v>
      </c>
      <c r="F23">
        <f t="shared" si="0"/>
        <v>8.41</v>
      </c>
      <c r="G23">
        <f t="shared" si="1"/>
        <v>4.5755334022510317</v>
      </c>
      <c r="I23" s="39" t="s">
        <v>96</v>
      </c>
      <c r="J23" s="42">
        <v>-7.640000034893049</v>
      </c>
    </row>
    <row r="24" spans="2:13">
      <c r="B24" s="36">
        <v>71.2</v>
      </c>
      <c r="C24" s="48">
        <v>1</v>
      </c>
      <c r="D24" s="36">
        <v>6.37</v>
      </c>
      <c r="E24" s="36">
        <v>0.5</v>
      </c>
      <c r="F24">
        <f t="shared" si="0"/>
        <v>0.25</v>
      </c>
      <c r="G24">
        <f t="shared" si="1"/>
        <v>22.697003033011615</v>
      </c>
      <c r="J24" s="42">
        <v>12.151235674376949</v>
      </c>
    </row>
    <row r="25" spans="2:13">
      <c r="B25" s="36">
        <v>84.7</v>
      </c>
      <c r="C25" s="48">
        <v>1</v>
      </c>
      <c r="D25" s="36">
        <v>5.33</v>
      </c>
      <c r="E25" s="36">
        <v>2.1</v>
      </c>
      <c r="F25">
        <f t="shared" si="0"/>
        <v>4.41</v>
      </c>
      <c r="G25">
        <f t="shared" si="1"/>
        <v>5.718251177403423</v>
      </c>
      <c r="J25" s="42">
        <v>-2.7679630889660984</v>
      </c>
    </row>
    <row r="26" spans="2:13">
      <c r="B26" s="36">
        <v>73.599999999999994</v>
      </c>
      <c r="C26" s="48">
        <v>1</v>
      </c>
      <c r="D26" s="36">
        <v>5.23</v>
      </c>
      <c r="E26" s="36">
        <v>0.8</v>
      </c>
      <c r="F26">
        <f t="shared" si="0"/>
        <v>0.64000000000000012</v>
      </c>
      <c r="G26">
        <f t="shared" si="1"/>
        <v>16.903017605050596</v>
      </c>
    </row>
    <row r="27" spans="2:13">
      <c r="B27" s="36">
        <v>73.7</v>
      </c>
      <c r="C27" s="48">
        <v>1</v>
      </c>
      <c r="D27" s="36">
        <v>5.88</v>
      </c>
      <c r="E27" s="36">
        <v>1.1000000000000001</v>
      </c>
      <c r="F27">
        <f t="shared" si="0"/>
        <v>1.2100000000000002</v>
      </c>
      <c r="G27">
        <f t="shared" si="1"/>
        <v>1.238679249713986</v>
      </c>
    </row>
    <row r="28" spans="2:13">
      <c r="B28" s="36">
        <v>78.099999999999994</v>
      </c>
      <c r="C28" s="48">
        <v>1</v>
      </c>
      <c r="D28" s="36">
        <v>6.24</v>
      </c>
      <c r="E28" s="36">
        <v>1.9</v>
      </c>
      <c r="F28">
        <f t="shared" si="0"/>
        <v>3.61</v>
      </c>
      <c r="G28">
        <f t="shared" si="1"/>
        <v>8.7590143726480001</v>
      </c>
    </row>
    <row r="29" spans="2:13">
      <c r="B29" s="36">
        <v>75.7</v>
      </c>
      <c r="C29" s="48">
        <v>1</v>
      </c>
      <c r="D29" s="36">
        <v>5.59</v>
      </c>
      <c r="E29" s="36">
        <v>2.1</v>
      </c>
      <c r="F29">
        <f t="shared" si="0"/>
        <v>4.41</v>
      </c>
      <c r="G29">
        <f t="shared" si="1"/>
        <v>21.365781907277146</v>
      </c>
    </row>
    <row r="30" spans="2:13">
      <c r="B30" s="36">
        <v>74.400000000000006</v>
      </c>
      <c r="C30" s="48">
        <v>1</v>
      </c>
      <c r="D30" s="36">
        <v>6.22</v>
      </c>
      <c r="E30" s="36">
        <v>1.3</v>
      </c>
      <c r="F30">
        <f t="shared" si="0"/>
        <v>1.6900000000000002</v>
      </c>
      <c r="G30">
        <f t="shared" si="1"/>
        <v>1.1729225288551572</v>
      </c>
    </row>
    <row r="31" spans="2:13">
      <c r="B31" s="36">
        <v>68.7</v>
      </c>
      <c r="C31" s="48">
        <v>1</v>
      </c>
      <c r="D31" s="36">
        <v>6.41</v>
      </c>
      <c r="E31" s="36">
        <v>1.1000000000000001</v>
      </c>
      <c r="F31">
        <f t="shared" si="0"/>
        <v>1.2100000000000002</v>
      </c>
      <c r="G31">
        <f t="shared" si="1"/>
        <v>4.2591039412192329</v>
      </c>
    </row>
    <row r="32" spans="2:13">
      <c r="B32" s="36">
        <v>83.9</v>
      </c>
      <c r="C32" s="48">
        <v>1</v>
      </c>
      <c r="D32" s="36">
        <v>4.96</v>
      </c>
      <c r="E32" s="36">
        <v>1.1000000000000001</v>
      </c>
      <c r="F32">
        <f t="shared" si="0"/>
        <v>1.2100000000000002</v>
      </c>
      <c r="G32">
        <f t="shared" si="1"/>
        <v>4.2363530819730455</v>
      </c>
    </row>
    <row r="33" spans="2:7">
      <c r="B33" s="36">
        <v>86.1</v>
      </c>
      <c r="C33" s="48">
        <v>1</v>
      </c>
      <c r="D33" s="36">
        <v>4.83</v>
      </c>
      <c r="E33" s="36">
        <v>2.9</v>
      </c>
      <c r="F33">
        <f t="shared" si="0"/>
        <v>8.41</v>
      </c>
      <c r="G33">
        <f t="shared" si="1"/>
        <v>1.7480814418530664</v>
      </c>
    </row>
    <row r="34" spans="2:7">
      <c r="B34" s="36">
        <v>73.7</v>
      </c>
      <c r="C34" s="48">
        <v>1</v>
      </c>
      <c r="D34" s="36">
        <v>6.35</v>
      </c>
      <c r="E34" s="36">
        <v>1.4</v>
      </c>
      <c r="F34">
        <f t="shared" si="0"/>
        <v>1.9599999999999997</v>
      </c>
      <c r="G34">
        <f t="shared" si="1"/>
        <v>0.8252667776604492</v>
      </c>
    </row>
    <row r="35" spans="2:7">
      <c r="B35" s="36">
        <v>75.7</v>
      </c>
      <c r="C35" s="48">
        <v>1</v>
      </c>
      <c r="D35" s="36">
        <v>6.47</v>
      </c>
      <c r="E35" s="36">
        <v>2.5</v>
      </c>
      <c r="F35">
        <f t="shared" si="0"/>
        <v>6.25</v>
      </c>
      <c r="G35">
        <f t="shared" si="1"/>
        <v>5.4449626029863092</v>
      </c>
    </row>
    <row r="36" spans="2:7">
      <c r="B36" s="36">
        <v>78.8</v>
      </c>
      <c r="C36" s="48">
        <v>1</v>
      </c>
      <c r="D36" s="36">
        <v>5.69</v>
      </c>
      <c r="E36" s="36">
        <v>3</v>
      </c>
      <c r="F36">
        <f t="shared" si="0"/>
        <v>9</v>
      </c>
      <c r="G36">
        <f t="shared" si="1"/>
        <v>1.0211607653512105</v>
      </c>
    </row>
    <row r="37" spans="2:7">
      <c r="B37" s="36">
        <v>73.7</v>
      </c>
      <c r="C37" s="48">
        <v>1</v>
      </c>
      <c r="D37" s="36">
        <v>5.56</v>
      </c>
      <c r="E37" s="36">
        <v>1</v>
      </c>
      <c r="F37">
        <f t="shared" si="0"/>
        <v>1</v>
      </c>
      <c r="G37">
        <f t="shared" si="1"/>
        <v>8.5492401713274493</v>
      </c>
    </row>
    <row r="38" spans="2:7">
      <c r="B38" s="36">
        <v>80.2</v>
      </c>
      <c r="C38" s="48">
        <v>1</v>
      </c>
      <c r="D38" s="36">
        <v>6.41</v>
      </c>
      <c r="E38" s="36">
        <v>3.1</v>
      </c>
      <c r="F38">
        <f t="shared" si="0"/>
        <v>9.6100000000000012</v>
      </c>
      <c r="G38">
        <f t="shared" si="1"/>
        <v>70.302505487654628</v>
      </c>
    </row>
    <row r="39" spans="2:7">
      <c r="B39" s="36">
        <v>69.900000000000006</v>
      </c>
      <c r="C39" s="48">
        <v>1</v>
      </c>
      <c r="D39" s="36">
        <v>5.54</v>
      </c>
      <c r="E39" s="36">
        <v>0.5</v>
      </c>
      <c r="F39">
        <f t="shared" si="0"/>
        <v>0.25</v>
      </c>
      <c r="G39">
        <f t="shared" si="1"/>
        <v>8.2774906591246946</v>
      </c>
    </row>
    <row r="40" spans="2:7">
      <c r="B40" s="36">
        <v>69.099999999999994</v>
      </c>
      <c r="C40" s="48">
        <v>1</v>
      </c>
      <c r="D40" s="36">
        <v>6.47</v>
      </c>
      <c r="E40" s="36">
        <v>2.7</v>
      </c>
      <c r="F40">
        <f t="shared" si="0"/>
        <v>7.2900000000000009</v>
      </c>
      <c r="G40">
        <f t="shared" si="1"/>
        <v>14.578049174767697</v>
      </c>
    </row>
    <row r="41" spans="2:7">
      <c r="B41" s="36">
        <v>83.8</v>
      </c>
      <c r="C41" s="48">
        <v>1</v>
      </c>
      <c r="D41" s="36">
        <v>4.9400000000000004</v>
      </c>
      <c r="E41" s="36">
        <v>0.9</v>
      </c>
      <c r="F41">
        <f t="shared" si="0"/>
        <v>0.81</v>
      </c>
      <c r="G41">
        <f t="shared" si="1"/>
        <v>9.7875259297218289</v>
      </c>
    </row>
    <row r="42" spans="2:7">
      <c r="B42" s="36">
        <v>84.3</v>
      </c>
      <c r="C42" s="48">
        <v>1</v>
      </c>
      <c r="D42" s="36">
        <v>6.16</v>
      </c>
      <c r="E42" s="36">
        <v>1.5</v>
      </c>
      <c r="F42">
        <f t="shared" si="0"/>
        <v>2.25</v>
      </c>
      <c r="G42">
        <f t="shared" si="1"/>
        <v>93.014985127395022</v>
      </c>
    </row>
    <row r="43" spans="2:7">
      <c r="B43" s="36">
        <v>66</v>
      </c>
      <c r="C43" s="48">
        <v>1</v>
      </c>
      <c r="D43" s="36">
        <v>5.93</v>
      </c>
      <c r="E43" s="36">
        <v>2.8</v>
      </c>
      <c r="F43">
        <f t="shared" si="0"/>
        <v>7.839999999999999</v>
      </c>
      <c r="G43">
        <f t="shared" si="1"/>
        <v>115.27168166324445</v>
      </c>
    </row>
    <row r="44" spans="2:7">
      <c r="B44" s="36">
        <v>84.3</v>
      </c>
      <c r="C44" s="48">
        <v>1</v>
      </c>
      <c r="D44" s="36">
        <v>5.2</v>
      </c>
      <c r="E44" s="36">
        <v>2.2999999999999998</v>
      </c>
      <c r="F44">
        <f t="shared" si="0"/>
        <v>5.2899999999999991</v>
      </c>
      <c r="G44">
        <f t="shared" si="1"/>
        <v>1.0073070794426577</v>
      </c>
    </row>
    <row r="45" spans="2:7">
      <c r="B45" s="36">
        <v>79.5</v>
      </c>
      <c r="C45" s="48">
        <v>1</v>
      </c>
      <c r="D45" s="36">
        <v>5.62</v>
      </c>
      <c r="E45" s="36">
        <v>1.2</v>
      </c>
      <c r="F45">
        <f t="shared" si="0"/>
        <v>1.44</v>
      </c>
      <c r="G45">
        <f t="shared" si="1"/>
        <v>4.5035132109744458</v>
      </c>
    </row>
    <row r="46" spans="2:7">
      <c r="B46" s="36">
        <v>80.2</v>
      </c>
      <c r="C46" s="48">
        <v>1</v>
      </c>
      <c r="D46" s="36">
        <v>5.28</v>
      </c>
      <c r="E46" s="36">
        <v>3.1</v>
      </c>
      <c r="F46">
        <f t="shared" si="0"/>
        <v>9.6100000000000012</v>
      </c>
      <c r="G46">
        <f t="shared" si="1"/>
        <v>6.1772679660707749E-2</v>
      </c>
    </row>
    <row r="47" spans="2:7">
      <c r="B47" s="36">
        <v>67.599999999999994</v>
      </c>
      <c r="C47" s="48">
        <v>1</v>
      </c>
      <c r="D47" s="36">
        <v>5.46</v>
      </c>
      <c r="E47" s="36">
        <v>1</v>
      </c>
      <c r="F47">
        <f t="shared" si="0"/>
        <v>1</v>
      </c>
      <c r="G47">
        <f t="shared" si="1"/>
        <v>95.803150378609303</v>
      </c>
    </row>
    <row r="48" spans="2:7">
      <c r="B48" s="36">
        <v>86.5</v>
      </c>
      <c r="C48" s="48">
        <v>1</v>
      </c>
      <c r="D48" s="36">
        <v>5.1100000000000003</v>
      </c>
      <c r="E48" s="36">
        <v>2.5</v>
      </c>
      <c r="F48">
        <f t="shared" si="0"/>
        <v>6.25</v>
      </c>
      <c r="G48">
        <f t="shared" si="1"/>
        <v>7.5242921261799847</v>
      </c>
    </row>
    <row r="49" spans="2:13">
      <c r="B49" s="36">
        <v>87.6</v>
      </c>
      <c r="C49" s="48">
        <v>1</v>
      </c>
      <c r="D49" s="36">
        <v>5.04</v>
      </c>
      <c r="E49" s="36">
        <v>2.1</v>
      </c>
      <c r="F49">
        <f t="shared" si="0"/>
        <v>4.41</v>
      </c>
      <c r="G49">
        <f t="shared" si="1"/>
        <v>9.4598474513323954</v>
      </c>
    </row>
    <row r="50" spans="2:13">
      <c r="B50" s="36">
        <v>84.2</v>
      </c>
      <c r="C50" s="48">
        <v>1</v>
      </c>
      <c r="D50" s="36">
        <v>5.08</v>
      </c>
      <c r="E50" s="36">
        <v>2.8</v>
      </c>
      <c r="F50">
        <f t="shared" si="0"/>
        <v>7.839999999999999</v>
      </c>
      <c r="G50">
        <f t="shared" si="1"/>
        <v>0.93999797138922736</v>
      </c>
    </row>
    <row r="51" spans="2:13">
      <c r="B51" s="36">
        <v>75.2</v>
      </c>
      <c r="C51" s="48">
        <v>1</v>
      </c>
      <c r="D51" s="36">
        <v>5.86</v>
      </c>
      <c r="E51" s="36">
        <v>3.1</v>
      </c>
      <c r="F51">
        <f t="shared" si="0"/>
        <v>9.6100000000000012</v>
      </c>
      <c r="G51">
        <f t="shared" si="1"/>
        <v>0.66804644484793396</v>
      </c>
    </row>
    <row r="52" spans="2:13">
      <c r="B52" s="36">
        <v>84.7</v>
      </c>
      <c r="C52" s="48">
        <v>1</v>
      </c>
      <c r="D52" s="36">
        <v>4.8899999999999997</v>
      </c>
      <c r="E52" s="36">
        <v>3.1</v>
      </c>
      <c r="F52">
        <f t="shared" si="0"/>
        <v>9.6100000000000012</v>
      </c>
      <c r="G52">
        <f t="shared" si="1"/>
        <v>1.6176250203869253</v>
      </c>
    </row>
    <row r="53" spans="2:13">
      <c r="B53" s="36">
        <v>73.7</v>
      </c>
      <c r="C53" s="48">
        <v>1</v>
      </c>
      <c r="D53" s="36">
        <v>5.68</v>
      </c>
      <c r="E53" s="36">
        <v>0.9</v>
      </c>
      <c r="F53">
        <f t="shared" si="0"/>
        <v>0.81</v>
      </c>
      <c r="G53">
        <f t="shared" si="1"/>
        <v>1.736854579280718</v>
      </c>
    </row>
    <row r="54" spans="2:13">
      <c r="B54" s="36">
        <v>81.2</v>
      </c>
      <c r="C54" s="48">
        <v>1</v>
      </c>
      <c r="D54" s="36">
        <v>5.83</v>
      </c>
      <c r="E54" s="36">
        <v>1.8</v>
      </c>
      <c r="F54">
        <f t="shared" si="0"/>
        <v>3.24</v>
      </c>
      <c r="G54">
        <f t="shared" si="1"/>
        <v>9.7227996576921107</v>
      </c>
    </row>
    <row r="55" spans="2:13">
      <c r="B55" s="36">
        <v>69</v>
      </c>
      <c r="C55" s="48">
        <v>1</v>
      </c>
      <c r="D55" s="36">
        <v>6.33</v>
      </c>
      <c r="E55" s="36">
        <v>3.1</v>
      </c>
      <c r="F55">
        <f t="shared" si="0"/>
        <v>9.6100000000000012</v>
      </c>
      <c r="G55">
        <f t="shared" si="1"/>
        <v>11.74118367643767</v>
      </c>
      <c r="J55" s="40">
        <f t="array" ref="J55:M58">M17^2 *(J11:M14)</f>
        <v>46.227019102511711</v>
      </c>
      <c r="K55" s="50">
        <v>-6.4261130143639491</v>
      </c>
      <c r="L55" s="50">
        <v>-11.600960140114363</v>
      </c>
      <c r="M55" s="41">
        <v>2.9390263354697104</v>
      </c>
    </row>
    <row r="56" spans="2:13">
      <c r="B56" s="36">
        <v>69.7</v>
      </c>
      <c r="C56" s="48">
        <v>1</v>
      </c>
      <c r="D56" s="36">
        <v>6.47</v>
      </c>
      <c r="E56" s="36">
        <v>1.9</v>
      </c>
      <c r="F56">
        <f t="shared" si="0"/>
        <v>3.61</v>
      </c>
      <c r="G56">
        <f t="shared" si="1"/>
        <v>13.566233218645557</v>
      </c>
      <c r="I56" s="38" t="s">
        <v>119</v>
      </c>
      <c r="J56" s="40">
        <v>-6.4261130143639589</v>
      </c>
      <c r="K56" s="50">
        <v>1.0939881486692384</v>
      </c>
      <c r="L56" s="50">
        <v>0.30040624372198066</v>
      </c>
      <c r="M56" s="41">
        <v>-8.5619060000747302E-2</v>
      </c>
    </row>
    <row r="57" spans="2:13">
      <c r="B57" s="36">
        <v>78.099999999999994</v>
      </c>
      <c r="C57" s="48">
        <v>1</v>
      </c>
      <c r="D57" s="36">
        <v>5.7</v>
      </c>
      <c r="E57" s="36">
        <v>0.7</v>
      </c>
      <c r="F57">
        <f t="shared" si="0"/>
        <v>0.48999999999999994</v>
      </c>
      <c r="G57">
        <f t="shared" si="1"/>
        <v>22.842675440858763</v>
      </c>
      <c r="J57" s="40">
        <v>-11.600960140114152</v>
      </c>
      <c r="K57" s="50">
        <v>0.30040624372194386</v>
      </c>
      <c r="L57" s="50">
        <v>12.646301978569765</v>
      </c>
      <c r="M57" s="41">
        <v>-3.2887457376466913</v>
      </c>
    </row>
    <row r="58" spans="2:13">
      <c r="B58" s="36">
        <v>88</v>
      </c>
      <c r="C58" s="48">
        <v>1</v>
      </c>
      <c r="D58" s="36">
        <v>5.22</v>
      </c>
      <c r="E58" s="36">
        <v>1.6</v>
      </c>
      <c r="F58">
        <f t="shared" si="0"/>
        <v>2.5600000000000005</v>
      </c>
      <c r="G58">
        <f t="shared" si="1"/>
        <v>33.706995827807496</v>
      </c>
      <c r="J58" s="40">
        <v>2.9390263354696535</v>
      </c>
      <c r="K58" s="50">
        <v>-8.5619060000737282E-2</v>
      </c>
      <c r="L58" s="50">
        <v>-3.2887457376466922</v>
      </c>
      <c r="M58" s="41">
        <v>0.88477356784242056</v>
      </c>
    </row>
    <row r="59" spans="2:13">
      <c r="B59" s="36">
        <v>80.400000000000006</v>
      </c>
      <c r="C59" s="48">
        <v>1</v>
      </c>
      <c r="D59" s="36">
        <v>5.05</v>
      </c>
      <c r="E59" s="36">
        <v>2.9</v>
      </c>
      <c r="F59">
        <f t="shared" si="0"/>
        <v>8.41</v>
      </c>
      <c r="G59">
        <f t="shared" si="1"/>
        <v>7.2740769896965531</v>
      </c>
    </row>
    <row r="60" spans="2:13">
      <c r="B60" s="36">
        <v>79.7</v>
      </c>
      <c r="C60" s="48">
        <v>1</v>
      </c>
      <c r="D60" s="36">
        <v>5.76</v>
      </c>
      <c r="E60" s="36">
        <v>2.2999999999999998</v>
      </c>
      <c r="F60">
        <f t="shared" si="0"/>
        <v>5.2899999999999991</v>
      </c>
      <c r="G60">
        <f t="shared" si="1"/>
        <v>0.46518798656583721</v>
      </c>
    </row>
    <row r="61" spans="2:13">
      <c r="B61" s="36">
        <v>73.2</v>
      </c>
      <c r="C61" s="48">
        <v>1</v>
      </c>
      <c r="D61" s="36">
        <v>6.25</v>
      </c>
      <c r="E61" s="36">
        <v>1.7</v>
      </c>
      <c r="F61">
        <f t="shared" si="0"/>
        <v>2.8899999999999997</v>
      </c>
      <c r="G61">
        <f t="shared" si="1"/>
        <v>2.035538753956001</v>
      </c>
      <c r="I61" s="38" t="s">
        <v>116</v>
      </c>
      <c r="J61" s="40">
        <v>0</v>
      </c>
      <c r="K61" s="50">
        <v>0</v>
      </c>
      <c r="L61" s="50">
        <v>1</v>
      </c>
      <c r="M61" s="41">
        <v>3.8</v>
      </c>
    </row>
    <row r="62" spans="2:13">
      <c r="B62" s="36">
        <v>85.9</v>
      </c>
      <c r="C62" s="48">
        <v>1</v>
      </c>
      <c r="D62" s="36">
        <v>5.34</v>
      </c>
      <c r="E62" s="36">
        <v>1.8</v>
      </c>
      <c r="F62">
        <f t="shared" si="0"/>
        <v>3.24</v>
      </c>
      <c r="G62">
        <f t="shared" si="1"/>
        <v>16.601879467252537</v>
      </c>
      <c r="I62" s="38" t="s">
        <v>117</v>
      </c>
      <c r="J62">
        <v>1</v>
      </c>
    </row>
    <row r="63" spans="2:13">
      <c r="B63" s="36">
        <v>83.3</v>
      </c>
      <c r="C63" s="48">
        <v>1</v>
      </c>
      <c r="D63" s="36">
        <v>4.9800000000000004</v>
      </c>
      <c r="E63" s="36">
        <v>0.6</v>
      </c>
      <c r="F63">
        <f t="shared" si="0"/>
        <v>0.36</v>
      </c>
      <c r="G63">
        <f t="shared" si="1"/>
        <v>28.450377197998144</v>
      </c>
    </row>
    <row r="64" spans="2:13">
      <c r="B64" s="36">
        <v>73.599999999999994</v>
      </c>
      <c r="C64" s="48">
        <v>1</v>
      </c>
      <c r="D64" s="36">
        <v>6.39</v>
      </c>
      <c r="E64" s="36">
        <v>3.1</v>
      </c>
      <c r="F64">
        <f t="shared" si="0"/>
        <v>9.6100000000000012</v>
      </c>
      <c r="G64">
        <f t="shared" si="1"/>
        <v>2.662963587568846</v>
      </c>
      <c r="I64" s="38" t="s">
        <v>118</v>
      </c>
      <c r="J64">
        <f>MMULT(J61:M61,J22:J25)-J62</f>
        <v>0.63297593630577431</v>
      </c>
      <c r="K64" s="43" t="s">
        <v>122</v>
      </c>
    </row>
    <row r="65" spans="2:13" ht="17.25">
      <c r="B65" s="36">
        <v>79.2</v>
      </c>
      <c r="C65" s="48">
        <v>1</v>
      </c>
      <c r="D65" s="36">
        <v>6.22</v>
      </c>
      <c r="E65" s="36">
        <v>1.2</v>
      </c>
      <c r="F65">
        <f t="shared" si="0"/>
        <v>1.44</v>
      </c>
      <c r="G65">
        <f t="shared" si="1"/>
        <v>41.038735717502433</v>
      </c>
      <c r="I65" s="51" t="s">
        <v>120</v>
      </c>
      <c r="J65">
        <f t="array" ref="J65">MINVERSE(MMULT(MMULT(J61:M61,J55:M58),TRANSPOSE(J61:M61)))</f>
        <v>2.3366413595811206</v>
      </c>
      <c r="K65" s="43" t="s">
        <v>123</v>
      </c>
    </row>
    <row r="66" spans="2:13">
      <c r="B66" s="36">
        <v>88.1</v>
      </c>
      <c r="C66" s="48">
        <v>1</v>
      </c>
      <c r="D66" s="36">
        <v>5.0999999999999996</v>
      </c>
      <c r="E66" s="36">
        <v>2.1</v>
      </c>
      <c r="F66">
        <f t="shared" si="0"/>
        <v>4.41</v>
      </c>
      <c r="G66">
        <f t="shared" si="1"/>
        <v>16.273853912997438</v>
      </c>
      <c r="I66" s="38" t="s">
        <v>118</v>
      </c>
      <c r="J66">
        <f t="array" ref="J66">MMULT(J61:M61,J22:J25)-J62</f>
        <v>0.63297593630577431</v>
      </c>
    </row>
    <row r="67" spans="2:13">
      <c r="B67" s="36">
        <v>64.5</v>
      </c>
      <c r="C67" s="48">
        <v>1</v>
      </c>
      <c r="D67" s="36">
        <v>6.49</v>
      </c>
      <c r="E67" s="36">
        <v>0.5</v>
      </c>
      <c r="F67">
        <f t="shared" si="0"/>
        <v>0.25</v>
      </c>
      <c r="G67">
        <f t="shared" si="1"/>
        <v>1.0384890304540115</v>
      </c>
    </row>
    <row r="68" spans="2:13">
      <c r="B68" s="36">
        <v>84.1</v>
      </c>
      <c r="C68" s="48">
        <v>1</v>
      </c>
      <c r="D68" s="36">
        <v>4.8600000000000003</v>
      </c>
      <c r="E68" s="36">
        <v>2.9</v>
      </c>
      <c r="F68">
        <f t="shared" si="0"/>
        <v>8.41</v>
      </c>
      <c r="G68">
        <f t="shared" si="1"/>
        <v>0.20128654352676739</v>
      </c>
      <c r="I68" s="38" t="s">
        <v>121</v>
      </c>
      <c r="J68">
        <f>J64*J65*J66</f>
        <v>0.93619530615169733</v>
      </c>
    </row>
    <row r="69" spans="2:13">
      <c r="B69" s="36">
        <v>91.2</v>
      </c>
      <c r="C69" s="48">
        <v>1</v>
      </c>
      <c r="D69" s="36">
        <v>5.0999999999999996</v>
      </c>
      <c r="E69" s="36">
        <v>1.6</v>
      </c>
      <c r="F69">
        <f t="shared" si="0"/>
        <v>2.5600000000000005</v>
      </c>
      <c r="G69">
        <f t="shared" si="1"/>
        <v>65.431478136343188</v>
      </c>
    </row>
    <row r="70" spans="2:13">
      <c r="B70" s="36">
        <v>71.8</v>
      </c>
      <c r="C70" s="48">
        <v>1</v>
      </c>
      <c r="D70" s="36">
        <v>5.98</v>
      </c>
      <c r="E70" s="36">
        <v>1.5</v>
      </c>
      <c r="F70">
        <f t="shared" ref="F70:F79" si="2">E70^2</f>
        <v>2.25</v>
      </c>
      <c r="G70">
        <f t="shared" ref="G70:G79" si="3">(B70-(J$22+J$23*D70+J$24*E70+J$25*F70))^2</f>
        <v>17.899434541464096</v>
      </c>
    </row>
    <row r="71" spans="2:13">
      <c r="B71" s="36">
        <v>80.599999999999994</v>
      </c>
      <c r="C71" s="48">
        <v>1</v>
      </c>
      <c r="D71" s="36">
        <v>5.0199999999999996</v>
      </c>
      <c r="E71" s="36">
        <v>2</v>
      </c>
      <c r="F71">
        <f t="shared" si="2"/>
        <v>4</v>
      </c>
      <c r="G71">
        <f t="shared" si="3"/>
        <v>15.974848283612101</v>
      </c>
      <c r="I71" s="38"/>
      <c r="J71" s="40">
        <v>0</v>
      </c>
      <c r="K71" s="50">
        <v>1</v>
      </c>
      <c r="L71" s="50">
        <v>0</v>
      </c>
      <c r="M71" s="41">
        <v>0</v>
      </c>
    </row>
    <row r="72" spans="2:13">
      <c r="B72" s="36">
        <v>73.099999999999994</v>
      </c>
      <c r="C72" s="48">
        <v>1</v>
      </c>
      <c r="D72" s="36">
        <v>5.08</v>
      </c>
      <c r="E72" s="36">
        <v>1.3</v>
      </c>
      <c r="F72">
        <f t="shared" si="2"/>
        <v>1.6900000000000002</v>
      </c>
      <c r="G72">
        <f t="shared" si="3"/>
        <v>79.683911911642141</v>
      </c>
      <c r="I72" s="38" t="s">
        <v>116</v>
      </c>
      <c r="J72" s="40">
        <v>0</v>
      </c>
      <c r="K72" s="50">
        <v>0</v>
      </c>
      <c r="L72" s="50">
        <v>1</v>
      </c>
      <c r="M72" s="41">
        <v>0</v>
      </c>
    </row>
    <row r="73" spans="2:13">
      <c r="B73" s="36">
        <v>81</v>
      </c>
      <c r="C73" s="48">
        <v>1</v>
      </c>
      <c r="D73" s="36">
        <v>5.23</v>
      </c>
      <c r="E73" s="36">
        <v>1.1000000000000001</v>
      </c>
      <c r="F73">
        <f t="shared" si="2"/>
        <v>1.2100000000000002</v>
      </c>
      <c r="G73">
        <f t="shared" si="3"/>
        <v>1.4909394072302133</v>
      </c>
      <c r="J73" s="40">
        <v>0</v>
      </c>
      <c r="K73" s="50">
        <v>0</v>
      </c>
      <c r="L73" s="50">
        <v>0</v>
      </c>
      <c r="M73" s="41">
        <v>1</v>
      </c>
    </row>
    <row r="74" spans="2:13">
      <c r="B74" s="36">
        <v>73.7</v>
      </c>
      <c r="C74" s="48">
        <v>1</v>
      </c>
      <c r="D74" s="36">
        <v>6.02</v>
      </c>
      <c r="E74" s="36">
        <v>2.2000000000000002</v>
      </c>
      <c r="F74">
        <f t="shared" si="2"/>
        <v>4.8400000000000007</v>
      </c>
      <c r="G74">
        <f t="shared" si="3"/>
        <v>11.303130767779328</v>
      </c>
    </row>
    <row r="75" spans="2:13">
      <c r="B75" s="36">
        <v>82.2</v>
      </c>
      <c r="C75" s="48">
        <v>1</v>
      </c>
      <c r="D75" s="36">
        <v>5.73</v>
      </c>
      <c r="E75" s="36">
        <v>1.7</v>
      </c>
      <c r="F75">
        <f t="shared" si="2"/>
        <v>2.8899999999999997</v>
      </c>
      <c r="G75">
        <f t="shared" si="3"/>
        <v>12.96343390325349</v>
      </c>
      <c r="I75" s="38"/>
      <c r="J75" s="42">
        <v>0</v>
      </c>
    </row>
    <row r="76" spans="2:13">
      <c r="B76" s="36">
        <v>74.2</v>
      </c>
      <c r="C76" s="48">
        <v>1</v>
      </c>
      <c r="D76" s="36">
        <v>5.1100000000000003</v>
      </c>
      <c r="E76" s="36">
        <v>0.7</v>
      </c>
      <c r="F76">
        <f t="shared" si="2"/>
        <v>0.48999999999999994</v>
      </c>
      <c r="G76">
        <f t="shared" si="3"/>
        <v>13.163826977544028</v>
      </c>
      <c r="I76" s="38" t="s">
        <v>117</v>
      </c>
      <c r="J76" s="42">
        <v>0</v>
      </c>
    </row>
    <row r="77" spans="2:13">
      <c r="B77" s="36">
        <v>75.400000000000006</v>
      </c>
      <c r="C77" s="48">
        <v>1</v>
      </c>
      <c r="D77" s="36">
        <v>5.71</v>
      </c>
      <c r="E77" s="36">
        <v>0.7</v>
      </c>
      <c r="F77">
        <f t="shared" si="2"/>
        <v>0.48999999999999994</v>
      </c>
      <c r="G77">
        <f t="shared" si="3"/>
        <v>4.6474786396463239</v>
      </c>
      <c r="J77" s="42">
        <v>0</v>
      </c>
    </row>
    <row r="78" spans="2:13">
      <c r="B78" s="36">
        <v>81.3</v>
      </c>
      <c r="C78" s="48">
        <v>1</v>
      </c>
      <c r="D78" s="36">
        <v>5.45</v>
      </c>
      <c r="E78" s="36">
        <v>2</v>
      </c>
      <c r="F78">
        <f t="shared" si="2"/>
        <v>4</v>
      </c>
      <c r="G78">
        <f t="shared" si="3"/>
        <v>1.3583398801836065E-4</v>
      </c>
    </row>
    <row r="79" spans="2:13">
      <c r="B79" s="36">
        <v>75</v>
      </c>
      <c r="C79" s="48">
        <v>1</v>
      </c>
      <c r="D79" s="36">
        <v>6.05</v>
      </c>
      <c r="E79" s="36">
        <v>2.2000000000000002</v>
      </c>
      <c r="F79">
        <f t="shared" si="2"/>
        <v>4.8400000000000007</v>
      </c>
      <c r="G79">
        <f t="shared" si="3"/>
        <v>3.3592031378406126</v>
      </c>
      <c r="J79" s="42">
        <f t="array" ref="J79:J81">MMULT(J71:M73,J22:J25)-J75:J77</f>
        <v>-7.640000034893049</v>
      </c>
      <c r="K79" s="43" t="s">
        <v>124</v>
      </c>
    </row>
    <row r="80" spans="2:13">
      <c r="G80" s="30">
        <f>SUM(G5:G79)</f>
        <v>1532.0844587045219</v>
      </c>
      <c r="I80" s="38" t="s">
        <v>118</v>
      </c>
      <c r="J80" s="42">
        <v>12.151235674376949</v>
      </c>
    </row>
    <row r="81" spans="9:12">
      <c r="J81" s="42">
        <v>-2.7679630889660984</v>
      </c>
    </row>
    <row r="83" spans="9:12">
      <c r="J83" s="40">
        <f t="array" ref="J83:L85">MINVERSE(MMULT(MMULT(J71:M73,J55:M58),TRANSPOSE(J71:M73)))</f>
        <v>0.92170307190108525</v>
      </c>
      <c r="K83" s="50">
        <v>3.8984822057741099E-2</v>
      </c>
      <c r="L83" s="41">
        <v>0.23410115934676345</v>
      </c>
    </row>
    <row r="84" spans="9:12" ht="17.25">
      <c r="I84" s="51" t="s">
        <v>120</v>
      </c>
      <c r="J84" s="40">
        <v>3.8984822057739975E-2</v>
      </c>
      <c r="K84" s="50">
        <v>2.3720107461131028</v>
      </c>
      <c r="L84" s="41">
        <v>8.8206501170483076</v>
      </c>
    </row>
    <row r="85" spans="9:12">
      <c r="J85" s="40">
        <v>0.23410115934674883</v>
      </c>
      <c r="K85" s="50">
        <v>8.8206501170483076</v>
      </c>
      <c r="L85" s="41">
        <v>33.939665569069035</v>
      </c>
    </row>
    <row r="87" spans="9:12">
      <c r="I87" s="38" t="s">
        <v>125</v>
      </c>
      <c r="J87" s="40">
        <f t="array" ref="J87:L87">TRANSPOSE(J79:J81)</f>
        <v>-7.640000034893049</v>
      </c>
      <c r="K87" s="50">
        <v>12.151235674376949</v>
      </c>
      <c r="L87" s="41">
        <v>-2.7679630889660984</v>
      </c>
    </row>
    <row r="90" spans="9:12">
      <c r="I90" s="38" t="s">
        <v>121</v>
      </c>
      <c r="J90">
        <f t="array" ref="J90">MMULT(MMULT(J87:L87,J83:L85),J79:J81)</f>
        <v>73.377949450854729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5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4:D94"/>
  <sheetViews>
    <sheetView workbookViewId="0">
      <selection activeCell="B4" sqref="B4:D94"/>
    </sheetView>
  </sheetViews>
  <sheetFormatPr defaultRowHeight="15"/>
  <sheetData>
    <row r="4" spans="2:4">
      <c r="B4" s="37" t="s">
        <v>54</v>
      </c>
      <c r="C4" s="37" t="s">
        <v>55</v>
      </c>
      <c r="D4" s="37" t="s">
        <v>56</v>
      </c>
    </row>
    <row r="5" spans="2:4">
      <c r="B5">
        <v>10</v>
      </c>
      <c r="C5">
        <v>1</v>
      </c>
      <c r="D5">
        <v>605.202</v>
      </c>
    </row>
    <row r="6" spans="2:4">
      <c r="B6">
        <v>1</v>
      </c>
      <c r="C6">
        <v>1</v>
      </c>
      <c r="D6">
        <v>398.65800000000002</v>
      </c>
    </row>
    <row r="7" spans="2:4">
      <c r="B7">
        <v>10</v>
      </c>
      <c r="C7">
        <v>1</v>
      </c>
      <c r="D7">
        <v>582.66</v>
      </c>
    </row>
    <row r="8" spans="2:4">
      <c r="B8">
        <v>20</v>
      </c>
      <c r="C8">
        <v>1</v>
      </c>
      <c r="D8">
        <v>689.91</v>
      </c>
    </row>
    <row r="9" spans="2:4">
      <c r="B9">
        <v>17</v>
      </c>
      <c r="C9">
        <v>1</v>
      </c>
      <c r="D9">
        <v>672.82799999999997</v>
      </c>
    </row>
    <row r="10" spans="2:4">
      <c r="B10">
        <v>22</v>
      </c>
      <c r="C10">
        <v>1</v>
      </c>
      <c r="D10">
        <v>673.06200000000001</v>
      </c>
    </row>
    <row r="11" spans="2:4">
      <c r="B11">
        <v>8</v>
      </c>
      <c r="C11">
        <v>1</v>
      </c>
      <c r="D11">
        <v>589.13400000000001</v>
      </c>
    </row>
    <row r="12" spans="2:4">
      <c r="B12">
        <v>19</v>
      </c>
      <c r="C12">
        <v>1</v>
      </c>
      <c r="D12">
        <v>682.73400000000004</v>
      </c>
    </row>
    <row r="13" spans="2:4">
      <c r="B13">
        <v>5</v>
      </c>
      <c r="C13">
        <v>1</v>
      </c>
      <c r="D13">
        <v>416.52</v>
      </c>
    </row>
    <row r="14" spans="2:4">
      <c r="B14">
        <v>5</v>
      </c>
      <c r="C14">
        <v>1</v>
      </c>
      <c r="D14">
        <v>458.40600000000001</v>
      </c>
    </row>
    <row r="15" spans="2:4">
      <c r="B15">
        <v>15</v>
      </c>
      <c r="C15">
        <v>1</v>
      </c>
      <c r="D15">
        <v>540.22799999999995</v>
      </c>
    </row>
    <row r="16" spans="2:4">
      <c r="B16">
        <v>2</v>
      </c>
      <c r="C16">
        <v>1</v>
      </c>
      <c r="D16">
        <v>412.23</v>
      </c>
    </row>
    <row r="17" spans="2:4">
      <c r="B17">
        <v>12</v>
      </c>
      <c r="C17">
        <v>1</v>
      </c>
      <c r="D17">
        <v>635.77800000000002</v>
      </c>
    </row>
    <row r="18" spans="2:4">
      <c r="B18">
        <v>8</v>
      </c>
      <c r="C18">
        <v>1</v>
      </c>
      <c r="D18">
        <v>459.49799999999999</v>
      </c>
    </row>
    <row r="19" spans="2:4">
      <c r="B19">
        <v>20</v>
      </c>
      <c r="C19">
        <v>1</v>
      </c>
      <c r="D19">
        <v>714.32399999999996</v>
      </c>
    </row>
    <row r="20" spans="2:4">
      <c r="B20">
        <v>3</v>
      </c>
      <c r="C20">
        <v>1</v>
      </c>
      <c r="D20">
        <v>417.22199999999998</v>
      </c>
    </row>
    <row r="21" spans="2:4">
      <c r="B21">
        <v>5</v>
      </c>
      <c r="C21">
        <v>1</v>
      </c>
      <c r="D21">
        <v>539.91600000000005</v>
      </c>
    </row>
    <row r="22" spans="2:4">
      <c r="B22">
        <v>11</v>
      </c>
      <c r="C22">
        <v>1</v>
      </c>
      <c r="D22">
        <v>664.95</v>
      </c>
    </row>
    <row r="23" spans="2:4">
      <c r="B23">
        <v>6</v>
      </c>
      <c r="C23">
        <v>1</v>
      </c>
      <c r="D23">
        <v>415.35</v>
      </c>
    </row>
    <row r="24" spans="2:4">
      <c r="B24">
        <v>7</v>
      </c>
      <c r="C24">
        <v>1</v>
      </c>
      <c r="D24">
        <v>548.49599999999998</v>
      </c>
    </row>
    <row r="25" spans="2:4">
      <c r="B25">
        <v>1</v>
      </c>
      <c r="C25">
        <v>1</v>
      </c>
      <c r="D25">
        <v>404.50799999999998</v>
      </c>
    </row>
    <row r="26" spans="2:4">
      <c r="B26">
        <v>7</v>
      </c>
      <c r="C26">
        <v>1</v>
      </c>
      <c r="D26">
        <v>592.72199999999998</v>
      </c>
    </row>
    <row r="27" spans="2:4">
      <c r="B27">
        <v>16</v>
      </c>
      <c r="C27">
        <v>1</v>
      </c>
      <c r="D27">
        <v>708.63</v>
      </c>
    </row>
    <row r="28" spans="2:4">
      <c r="B28">
        <v>6</v>
      </c>
      <c r="C28">
        <v>1</v>
      </c>
      <c r="D28">
        <v>568.15200000000004</v>
      </c>
    </row>
    <row r="29" spans="2:4">
      <c r="B29">
        <v>15</v>
      </c>
      <c r="C29">
        <v>1</v>
      </c>
      <c r="D29">
        <v>649.428</v>
      </c>
    </row>
    <row r="30" spans="2:4">
      <c r="B30">
        <v>8</v>
      </c>
      <c r="C30">
        <v>1</v>
      </c>
      <c r="D30">
        <v>571.35</v>
      </c>
    </row>
    <row r="31" spans="2:4">
      <c r="B31">
        <v>4</v>
      </c>
      <c r="C31">
        <v>1</v>
      </c>
      <c r="D31">
        <v>498.81</v>
      </c>
    </row>
    <row r="32" spans="2:4">
      <c r="B32">
        <v>4</v>
      </c>
      <c r="C32">
        <v>1</v>
      </c>
      <c r="D32">
        <v>448.65600000000001</v>
      </c>
    </row>
    <row r="33" spans="2:4">
      <c r="B33">
        <v>7</v>
      </c>
      <c r="C33">
        <v>1</v>
      </c>
      <c r="D33">
        <v>443.43</v>
      </c>
    </row>
    <row r="34" spans="2:4">
      <c r="B34">
        <v>10</v>
      </c>
      <c r="C34">
        <v>1</v>
      </c>
      <c r="D34">
        <v>607.77599999999995</v>
      </c>
    </row>
    <row r="35" spans="2:4">
      <c r="B35">
        <v>3</v>
      </c>
      <c r="C35">
        <v>1</v>
      </c>
      <c r="D35">
        <v>398.73599999999999</v>
      </c>
    </row>
    <row r="36" spans="2:4">
      <c r="B36">
        <v>4</v>
      </c>
      <c r="C36">
        <v>1</v>
      </c>
      <c r="D36">
        <v>422.76</v>
      </c>
    </row>
    <row r="37" spans="2:4">
      <c r="B37">
        <v>3</v>
      </c>
      <c r="C37">
        <v>1</v>
      </c>
      <c r="D37">
        <v>398.19</v>
      </c>
    </row>
    <row r="38" spans="2:4">
      <c r="B38">
        <v>22</v>
      </c>
      <c r="C38">
        <v>1</v>
      </c>
      <c r="D38">
        <v>703.56</v>
      </c>
    </row>
    <row r="39" spans="2:4">
      <c r="B39">
        <v>17</v>
      </c>
      <c r="C39">
        <v>1</v>
      </c>
      <c r="D39">
        <v>602.31600000000003</v>
      </c>
    </row>
    <row r="40" spans="2:4">
      <c r="B40">
        <v>11</v>
      </c>
      <c r="C40">
        <v>1</v>
      </c>
      <c r="D40">
        <v>502.55399999999997</v>
      </c>
    </row>
    <row r="41" spans="2:4">
      <c r="B41">
        <v>15</v>
      </c>
      <c r="C41">
        <v>1</v>
      </c>
      <c r="D41">
        <v>608.16600000000005</v>
      </c>
    </row>
    <row r="42" spans="2:4">
      <c r="B42">
        <v>6</v>
      </c>
      <c r="C42">
        <v>1</v>
      </c>
      <c r="D42">
        <v>410.59199999999998</v>
      </c>
    </row>
    <row r="43" spans="2:4">
      <c r="B43">
        <v>10</v>
      </c>
      <c r="C43">
        <v>1</v>
      </c>
      <c r="D43">
        <v>577.59</v>
      </c>
    </row>
    <row r="44" spans="2:4">
      <c r="B44">
        <v>13</v>
      </c>
      <c r="C44">
        <v>1</v>
      </c>
      <c r="D44">
        <v>620.95799999999997</v>
      </c>
    </row>
    <row r="45" spans="2:4">
      <c r="B45">
        <v>9</v>
      </c>
      <c r="C45">
        <v>1</v>
      </c>
      <c r="D45">
        <v>530.63400000000001</v>
      </c>
    </row>
    <row r="46" spans="2:4">
      <c r="B46">
        <v>24</v>
      </c>
      <c r="C46">
        <v>1</v>
      </c>
      <c r="D46">
        <v>671.346</v>
      </c>
    </row>
    <row r="47" spans="2:4">
      <c r="B47">
        <v>21</v>
      </c>
      <c r="C47">
        <v>1</v>
      </c>
      <c r="D47">
        <v>731.56200000000001</v>
      </c>
    </row>
    <row r="48" spans="2:4">
      <c r="B48">
        <v>5</v>
      </c>
      <c r="C48">
        <v>1</v>
      </c>
      <c r="D48">
        <v>521.03999999999905</v>
      </c>
    </row>
    <row r="49" spans="2:4">
      <c r="B49">
        <v>10</v>
      </c>
      <c r="C49">
        <v>1</v>
      </c>
      <c r="D49">
        <v>558.09</v>
      </c>
    </row>
    <row r="50" spans="2:4">
      <c r="B50">
        <v>6</v>
      </c>
      <c r="C50">
        <v>1</v>
      </c>
      <c r="D50">
        <v>449.98200000000003</v>
      </c>
    </row>
    <row r="51" spans="2:4">
      <c r="B51">
        <v>7</v>
      </c>
      <c r="C51">
        <v>1</v>
      </c>
      <c r="D51">
        <v>525.72</v>
      </c>
    </row>
    <row r="52" spans="2:4">
      <c r="B52">
        <v>15</v>
      </c>
      <c r="C52">
        <v>1</v>
      </c>
      <c r="D52">
        <v>671.11199999999997</v>
      </c>
    </row>
    <row r="53" spans="2:4">
      <c r="B53">
        <v>3</v>
      </c>
      <c r="C53">
        <v>1</v>
      </c>
      <c r="D53">
        <v>427.90800000000002</v>
      </c>
    </row>
    <row r="54" spans="2:4">
      <c r="B54">
        <v>14</v>
      </c>
      <c r="C54">
        <v>1</v>
      </c>
      <c r="D54">
        <v>592.33199999999999</v>
      </c>
    </row>
    <row r="55" spans="2:4">
      <c r="B55">
        <v>15</v>
      </c>
      <c r="C55">
        <v>0</v>
      </c>
      <c r="D55">
        <v>349.38</v>
      </c>
    </row>
    <row r="56" spans="2:4">
      <c r="B56">
        <v>1</v>
      </c>
      <c r="C56">
        <v>0</v>
      </c>
      <c r="D56">
        <v>218.05199999999999</v>
      </c>
    </row>
    <row r="57" spans="2:4">
      <c r="B57">
        <v>12</v>
      </c>
      <c r="C57">
        <v>0</v>
      </c>
      <c r="D57">
        <v>387.39600000000002</v>
      </c>
    </row>
    <row r="58" spans="2:4">
      <c r="B58">
        <v>9</v>
      </c>
      <c r="C58">
        <v>0</v>
      </c>
      <c r="D58">
        <v>346.35599999999999</v>
      </c>
    </row>
    <row r="59" spans="2:4">
      <c r="B59">
        <v>5</v>
      </c>
      <c r="C59">
        <v>0</v>
      </c>
      <c r="D59">
        <v>256.01400000000001</v>
      </c>
    </row>
    <row r="60" spans="2:4">
      <c r="B60">
        <v>3</v>
      </c>
      <c r="C60">
        <v>0</v>
      </c>
      <c r="D60">
        <v>251.04599999999999</v>
      </c>
    </row>
    <row r="61" spans="2:4">
      <c r="B61">
        <v>7</v>
      </c>
      <c r="C61">
        <v>0</v>
      </c>
      <c r="D61">
        <v>273.34800000000001</v>
      </c>
    </row>
    <row r="62" spans="2:4">
      <c r="B62">
        <v>17</v>
      </c>
      <c r="C62">
        <v>0</v>
      </c>
      <c r="D62">
        <v>397.71</v>
      </c>
    </row>
    <row r="63" spans="2:4">
      <c r="B63">
        <v>19</v>
      </c>
      <c r="C63">
        <v>0</v>
      </c>
      <c r="D63">
        <v>392.202</v>
      </c>
    </row>
    <row r="64" spans="2:4">
      <c r="B64">
        <v>15</v>
      </c>
      <c r="C64">
        <v>0</v>
      </c>
      <c r="D64">
        <v>394.25400000000002</v>
      </c>
    </row>
    <row r="65" spans="2:4">
      <c r="B65">
        <v>6</v>
      </c>
      <c r="C65">
        <v>0</v>
      </c>
      <c r="D65">
        <v>285.17399999999998</v>
      </c>
    </row>
    <row r="66" spans="2:4">
      <c r="B66">
        <v>3</v>
      </c>
      <c r="C66">
        <v>0</v>
      </c>
      <c r="D66">
        <v>244.566</v>
      </c>
    </row>
    <row r="67" spans="2:4">
      <c r="B67">
        <v>17</v>
      </c>
      <c r="C67">
        <v>0</v>
      </c>
      <c r="D67">
        <v>387.61200000000002</v>
      </c>
    </row>
    <row r="68" spans="2:4">
      <c r="B68">
        <v>4</v>
      </c>
      <c r="C68">
        <v>0</v>
      </c>
      <c r="D68">
        <v>253.31399999999999</v>
      </c>
    </row>
    <row r="69" spans="2:4">
      <c r="B69">
        <v>10</v>
      </c>
      <c r="C69">
        <v>0</v>
      </c>
      <c r="D69">
        <v>333.61200000000002</v>
      </c>
    </row>
    <row r="70" spans="2:4">
      <c r="B70">
        <v>4</v>
      </c>
      <c r="C70">
        <v>0</v>
      </c>
      <c r="D70">
        <v>292.95</v>
      </c>
    </row>
    <row r="71" spans="2:4">
      <c r="B71">
        <v>11</v>
      </c>
      <c r="C71">
        <v>0</v>
      </c>
      <c r="D71">
        <v>374.92200000000003</v>
      </c>
    </row>
    <row r="72" spans="2:4">
      <c r="B72">
        <v>10</v>
      </c>
      <c r="C72">
        <v>0</v>
      </c>
      <c r="D72">
        <v>387.45</v>
      </c>
    </row>
    <row r="73" spans="2:4">
      <c r="B73">
        <v>7</v>
      </c>
      <c r="C73">
        <v>0</v>
      </c>
      <c r="D73">
        <v>307.52999999999997</v>
      </c>
    </row>
    <row r="74" spans="2:4">
      <c r="B74">
        <v>3</v>
      </c>
      <c r="C74">
        <v>0</v>
      </c>
      <c r="D74">
        <v>268.97399999999999</v>
      </c>
    </row>
    <row r="75" spans="2:4">
      <c r="B75">
        <v>20</v>
      </c>
      <c r="C75">
        <v>0</v>
      </c>
      <c r="D75">
        <v>406.72799999999904</v>
      </c>
    </row>
    <row r="76" spans="2:4">
      <c r="B76">
        <v>16</v>
      </c>
      <c r="C76">
        <v>0</v>
      </c>
      <c r="D76">
        <v>363.20400000000001</v>
      </c>
    </row>
    <row r="77" spans="2:4">
      <c r="B77">
        <v>17</v>
      </c>
      <c r="C77">
        <v>0</v>
      </c>
      <c r="D77">
        <v>377.40600000000001</v>
      </c>
    </row>
    <row r="78" spans="2:4">
      <c r="B78">
        <v>14</v>
      </c>
      <c r="C78">
        <v>0</v>
      </c>
      <c r="D78">
        <v>368.87400000000002</v>
      </c>
    </row>
    <row r="79" spans="2:4">
      <c r="B79">
        <v>12</v>
      </c>
      <c r="C79">
        <v>0</v>
      </c>
      <c r="D79">
        <v>401.274</v>
      </c>
    </row>
    <row r="80" spans="2:4">
      <c r="B80">
        <v>22</v>
      </c>
      <c r="C80">
        <v>0</v>
      </c>
      <c r="D80">
        <v>428.32799999999997</v>
      </c>
    </row>
    <row r="81" spans="2:4">
      <c r="B81">
        <v>8</v>
      </c>
      <c r="C81">
        <v>0</v>
      </c>
      <c r="D81">
        <v>354.94200000000001</v>
      </c>
    </row>
    <row r="82" spans="2:4">
      <c r="B82">
        <v>21</v>
      </c>
      <c r="C82">
        <v>0</v>
      </c>
      <c r="D82">
        <v>427.19399999999905</v>
      </c>
    </row>
    <row r="83" spans="2:4">
      <c r="B83">
        <v>14</v>
      </c>
      <c r="C83">
        <v>0</v>
      </c>
      <c r="D83">
        <v>318.38400000000001</v>
      </c>
    </row>
    <row r="84" spans="2:4">
      <c r="B84">
        <v>2</v>
      </c>
      <c r="C84">
        <v>0</v>
      </c>
      <c r="D84">
        <v>242.244</v>
      </c>
    </row>
    <row r="85" spans="2:4">
      <c r="B85">
        <v>8</v>
      </c>
      <c r="C85">
        <v>0</v>
      </c>
      <c r="D85">
        <v>293.22000000000003</v>
      </c>
    </row>
    <row r="86" spans="2:4">
      <c r="B86">
        <v>4</v>
      </c>
      <c r="C86">
        <v>0</v>
      </c>
      <c r="D86">
        <v>254.232</v>
      </c>
    </row>
    <row r="87" spans="2:4">
      <c r="B87">
        <v>11</v>
      </c>
      <c r="C87">
        <v>0</v>
      </c>
      <c r="D87">
        <v>306.72000000000003</v>
      </c>
    </row>
    <row r="88" spans="2:4">
      <c r="B88">
        <v>10</v>
      </c>
      <c r="C88">
        <v>0</v>
      </c>
      <c r="D88">
        <v>348.35399999999998</v>
      </c>
    </row>
    <row r="89" spans="2:4">
      <c r="B89">
        <v>18</v>
      </c>
      <c r="C89">
        <v>0</v>
      </c>
      <c r="D89">
        <v>402.94799999999998</v>
      </c>
    </row>
    <row r="90" spans="2:4">
      <c r="B90">
        <v>25</v>
      </c>
      <c r="C90">
        <v>0</v>
      </c>
      <c r="D90">
        <v>424.44</v>
      </c>
    </row>
    <row r="91" spans="2:4">
      <c r="B91">
        <v>11</v>
      </c>
      <c r="C91">
        <v>0</v>
      </c>
      <c r="D91">
        <v>321.57</v>
      </c>
    </row>
    <row r="92" spans="2:4">
      <c r="B92">
        <v>17</v>
      </c>
      <c r="C92">
        <v>0</v>
      </c>
      <c r="D92">
        <v>374.976</v>
      </c>
    </row>
    <row r="93" spans="2:4">
      <c r="B93">
        <v>19</v>
      </c>
      <c r="C93">
        <v>0</v>
      </c>
      <c r="D93">
        <v>411.69600000000003</v>
      </c>
    </row>
    <row r="94" spans="2:4">
      <c r="B94">
        <v>7</v>
      </c>
      <c r="C94">
        <v>0</v>
      </c>
      <c r="D94">
        <v>261.57600000000002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8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3:AC97"/>
  <sheetViews>
    <sheetView workbookViewId="0">
      <selection activeCell="L46" sqref="L46:P60"/>
    </sheetView>
  </sheetViews>
  <sheetFormatPr defaultRowHeight="15"/>
  <sheetData>
    <row r="3" spans="2:22" ht="17.25">
      <c r="B3" s="37" t="s">
        <v>54</v>
      </c>
      <c r="C3" s="37" t="s">
        <v>126</v>
      </c>
      <c r="D3" s="37" t="s">
        <v>56</v>
      </c>
      <c r="G3" s="37" t="s">
        <v>56</v>
      </c>
      <c r="H3" s="37" t="s">
        <v>92</v>
      </c>
      <c r="I3" s="37" t="s">
        <v>126</v>
      </c>
      <c r="J3" s="37" t="s">
        <v>115</v>
      </c>
      <c r="S3" s="37" t="s">
        <v>56</v>
      </c>
      <c r="T3" s="37" t="s">
        <v>127</v>
      </c>
      <c r="U3" s="37" t="s">
        <v>126</v>
      </c>
      <c r="V3" s="37" t="s">
        <v>115</v>
      </c>
    </row>
    <row r="4" spans="2:22">
      <c r="B4">
        <v>10</v>
      </c>
      <c r="C4">
        <v>0</v>
      </c>
      <c r="D4">
        <v>605.202</v>
      </c>
      <c r="G4">
        <v>605.202</v>
      </c>
      <c r="H4">
        <v>1</v>
      </c>
      <c r="I4">
        <v>0</v>
      </c>
      <c r="J4">
        <f t="shared" ref="J4:J35" si="0">(G4-M$56-M$57*I4)^2</f>
        <v>2968.9072717823701</v>
      </c>
      <c r="S4">
        <v>605.202</v>
      </c>
      <c r="T4">
        <v>1</v>
      </c>
      <c r="U4">
        <v>0</v>
      </c>
      <c r="V4">
        <f>(S4-Y$56*T4-Y$57*U4)^2</f>
        <v>2968.9072717823951</v>
      </c>
    </row>
    <row r="5" spans="2:22">
      <c r="B5">
        <v>1</v>
      </c>
      <c r="C5">
        <v>0</v>
      </c>
      <c r="D5">
        <v>398.65800000000002</v>
      </c>
      <c r="G5">
        <v>398.65800000000002</v>
      </c>
      <c r="H5">
        <v>1</v>
      </c>
      <c r="I5">
        <v>0</v>
      </c>
      <c r="J5">
        <f t="shared" si="0"/>
        <v>23121.124451942476</v>
      </c>
      <c r="S5">
        <v>398.65800000000002</v>
      </c>
      <c r="T5">
        <v>1</v>
      </c>
      <c r="U5">
        <v>0</v>
      </c>
      <c r="V5">
        <f t="shared" ref="V5:V68" si="1">(S5-Y$56*T5-Y$57*U5)^2</f>
        <v>23121.124451942407</v>
      </c>
    </row>
    <row r="6" spans="2:22">
      <c r="B6">
        <v>10</v>
      </c>
      <c r="C6">
        <v>0</v>
      </c>
      <c r="D6">
        <v>582.66</v>
      </c>
      <c r="G6">
        <v>582.66</v>
      </c>
      <c r="H6">
        <v>1</v>
      </c>
      <c r="I6">
        <v>0</v>
      </c>
      <c r="J6">
        <f t="shared" si="0"/>
        <v>1020.5264706623807</v>
      </c>
      <c r="S6">
        <v>582.66</v>
      </c>
      <c r="T6">
        <v>1</v>
      </c>
      <c r="U6">
        <v>0</v>
      </c>
      <c r="V6">
        <f t="shared" si="1"/>
        <v>1020.5264706623952</v>
      </c>
    </row>
    <row r="7" spans="2:22">
      <c r="B7">
        <v>20</v>
      </c>
      <c r="C7">
        <v>0</v>
      </c>
      <c r="D7">
        <v>689.91</v>
      </c>
      <c r="G7">
        <v>689.91</v>
      </c>
      <c r="H7">
        <v>1</v>
      </c>
      <c r="I7">
        <v>0</v>
      </c>
      <c r="J7">
        <f t="shared" si="0"/>
        <v>19375.437330662317</v>
      </c>
      <c r="S7">
        <v>689.91</v>
      </c>
      <c r="T7">
        <v>1</v>
      </c>
      <c r="U7">
        <v>0</v>
      </c>
      <c r="V7">
        <f t="shared" si="1"/>
        <v>19375.437330662378</v>
      </c>
    </row>
    <row r="8" spans="2:22">
      <c r="B8">
        <v>17</v>
      </c>
      <c r="C8">
        <v>0</v>
      </c>
      <c r="D8">
        <v>672.82799999999997</v>
      </c>
      <c r="G8">
        <v>672.82799999999997</v>
      </c>
      <c r="H8">
        <v>1</v>
      </c>
      <c r="I8">
        <v>0</v>
      </c>
      <c r="J8">
        <f t="shared" si="0"/>
        <v>14911.750843142328</v>
      </c>
      <c r="S8">
        <v>672.82799999999997</v>
      </c>
      <c r="T8">
        <v>1</v>
      </c>
      <c r="U8">
        <v>0</v>
      </c>
      <c r="V8">
        <f t="shared" si="1"/>
        <v>14911.750843142383</v>
      </c>
    </row>
    <row r="9" spans="2:22">
      <c r="B9">
        <v>22</v>
      </c>
      <c r="C9">
        <v>0</v>
      </c>
      <c r="D9">
        <v>673.06200000000001</v>
      </c>
      <c r="G9">
        <v>673.06200000000001</v>
      </c>
      <c r="H9">
        <v>1</v>
      </c>
      <c r="I9">
        <v>0</v>
      </c>
      <c r="J9">
        <f t="shared" si="0"/>
        <v>14968.954801382337</v>
      </c>
      <c r="S9">
        <v>673.06200000000001</v>
      </c>
      <c r="T9">
        <v>1</v>
      </c>
      <c r="U9">
        <v>0</v>
      </c>
      <c r="V9">
        <f t="shared" si="1"/>
        <v>14968.954801382391</v>
      </c>
    </row>
    <row r="10" spans="2:22">
      <c r="B10">
        <v>8</v>
      </c>
      <c r="C10">
        <v>0</v>
      </c>
      <c r="D10">
        <v>589.13400000000001</v>
      </c>
      <c r="G10">
        <v>589.13400000000001</v>
      </c>
      <c r="H10">
        <v>1</v>
      </c>
      <c r="I10">
        <v>0</v>
      </c>
      <c r="J10">
        <f t="shared" si="0"/>
        <v>1476.0718113023804</v>
      </c>
      <c r="S10">
        <v>589.13400000000001</v>
      </c>
      <c r="T10">
        <v>1</v>
      </c>
      <c r="U10">
        <v>0</v>
      </c>
      <c r="V10">
        <f t="shared" si="1"/>
        <v>1476.0718113023977</v>
      </c>
    </row>
    <row r="11" spans="2:22">
      <c r="B11">
        <v>19</v>
      </c>
      <c r="C11">
        <v>0</v>
      </c>
      <c r="D11">
        <v>682.73400000000004</v>
      </c>
      <c r="G11">
        <v>682.73400000000004</v>
      </c>
      <c r="H11">
        <v>1</v>
      </c>
      <c r="I11">
        <v>0</v>
      </c>
      <c r="J11">
        <f t="shared" si="0"/>
        <v>17429.195907302339</v>
      </c>
      <c r="S11">
        <v>682.73400000000004</v>
      </c>
      <c r="T11">
        <v>1</v>
      </c>
      <c r="U11">
        <v>0</v>
      </c>
      <c r="V11">
        <f t="shared" si="1"/>
        <v>17429.195907302397</v>
      </c>
    </row>
    <row r="12" spans="2:22">
      <c r="B12">
        <v>5</v>
      </c>
      <c r="C12">
        <v>0</v>
      </c>
      <c r="D12">
        <v>416.52</v>
      </c>
      <c r="G12">
        <v>416.52</v>
      </c>
      <c r="H12">
        <v>1</v>
      </c>
      <c r="I12">
        <v>0</v>
      </c>
      <c r="J12">
        <f t="shared" si="0"/>
        <v>18008.115520262476</v>
      </c>
      <c r="S12">
        <v>416.52</v>
      </c>
      <c r="T12">
        <v>1</v>
      </c>
      <c r="U12">
        <v>0</v>
      </c>
      <c r="V12">
        <f t="shared" si="1"/>
        <v>18008.115520262418</v>
      </c>
    </row>
    <row r="13" spans="2:22">
      <c r="B13">
        <v>5</v>
      </c>
      <c r="C13">
        <v>0</v>
      </c>
      <c r="D13">
        <v>458.40600000000001</v>
      </c>
      <c r="G13">
        <v>458.40600000000001</v>
      </c>
      <c r="H13">
        <v>1</v>
      </c>
      <c r="I13">
        <v>0</v>
      </c>
      <c r="J13">
        <f t="shared" si="0"/>
        <v>8520.8259412224488</v>
      </c>
      <c r="S13">
        <v>458.40600000000001</v>
      </c>
      <c r="T13">
        <v>1</v>
      </c>
      <c r="U13">
        <v>0</v>
      </c>
      <c r="V13">
        <f t="shared" si="1"/>
        <v>8520.825941222407</v>
      </c>
    </row>
    <row r="14" spans="2:22">
      <c r="B14">
        <v>15</v>
      </c>
      <c r="C14">
        <v>0</v>
      </c>
      <c r="D14">
        <v>540.22799999999995</v>
      </c>
      <c r="G14">
        <v>540.22799999999995</v>
      </c>
      <c r="H14">
        <v>1</v>
      </c>
      <c r="I14">
        <v>0</v>
      </c>
      <c r="J14">
        <f t="shared" si="0"/>
        <v>109.96290714240669</v>
      </c>
      <c r="S14">
        <v>540.22799999999995</v>
      </c>
      <c r="T14">
        <v>1</v>
      </c>
      <c r="U14">
        <v>0</v>
      </c>
      <c r="V14">
        <f t="shared" si="1"/>
        <v>109.96290714240192</v>
      </c>
    </row>
    <row r="15" spans="2:22">
      <c r="B15">
        <v>2</v>
      </c>
      <c r="C15">
        <v>0</v>
      </c>
      <c r="D15">
        <v>412.23</v>
      </c>
      <c r="G15">
        <v>412.23</v>
      </c>
      <c r="H15">
        <v>1</v>
      </c>
      <c r="I15">
        <v>0</v>
      </c>
      <c r="J15">
        <f t="shared" si="0"/>
        <v>19177.906885862471</v>
      </c>
      <c r="S15">
        <v>412.23</v>
      </c>
      <c r="T15">
        <v>1</v>
      </c>
      <c r="U15">
        <v>0</v>
      </c>
      <c r="V15">
        <f t="shared" si="1"/>
        <v>19177.906885862409</v>
      </c>
    </row>
    <row r="16" spans="2:22">
      <c r="B16">
        <v>12</v>
      </c>
      <c r="C16">
        <v>0</v>
      </c>
      <c r="D16">
        <v>635.77800000000002</v>
      </c>
      <c r="G16">
        <v>635.77800000000002</v>
      </c>
      <c r="H16">
        <v>1</v>
      </c>
      <c r="I16">
        <v>0</v>
      </c>
      <c r="J16">
        <f t="shared" si="0"/>
        <v>7235.8296551423573</v>
      </c>
      <c r="S16">
        <v>635.77800000000002</v>
      </c>
      <c r="T16">
        <v>1</v>
      </c>
      <c r="U16">
        <v>0</v>
      </c>
      <c r="V16">
        <f t="shared" si="1"/>
        <v>7235.8296551423964</v>
      </c>
    </row>
    <row r="17" spans="2:22">
      <c r="B17">
        <v>8</v>
      </c>
      <c r="C17">
        <v>0</v>
      </c>
      <c r="D17">
        <v>459.49799999999999</v>
      </c>
      <c r="G17">
        <v>459.49799999999999</v>
      </c>
      <c r="H17">
        <v>1</v>
      </c>
      <c r="I17">
        <v>0</v>
      </c>
      <c r="J17">
        <f t="shared" si="0"/>
        <v>8320.4170343424503</v>
      </c>
      <c r="S17">
        <v>459.49799999999999</v>
      </c>
      <c r="T17">
        <v>1</v>
      </c>
      <c r="U17">
        <v>0</v>
      </c>
      <c r="V17">
        <f t="shared" si="1"/>
        <v>8320.4170343424103</v>
      </c>
    </row>
    <row r="18" spans="2:22">
      <c r="B18">
        <v>20</v>
      </c>
      <c r="C18">
        <v>0</v>
      </c>
      <c r="D18">
        <v>714.32399999999996</v>
      </c>
      <c r="G18">
        <v>714.32399999999996</v>
      </c>
      <c r="H18">
        <v>1</v>
      </c>
      <c r="I18">
        <v>0</v>
      </c>
      <c r="J18">
        <f t="shared" si="0"/>
        <v>26768.127389702298</v>
      </c>
      <c r="S18">
        <v>714.32399999999996</v>
      </c>
      <c r="T18">
        <v>1</v>
      </c>
      <c r="U18">
        <v>0</v>
      </c>
      <c r="V18">
        <f t="shared" si="1"/>
        <v>26768.127389702371</v>
      </c>
    </row>
    <row r="19" spans="2:22">
      <c r="B19">
        <v>3</v>
      </c>
      <c r="C19">
        <v>0</v>
      </c>
      <c r="D19">
        <v>417.22199999999998</v>
      </c>
      <c r="G19">
        <v>417.22199999999998</v>
      </c>
      <c r="H19">
        <v>1</v>
      </c>
      <c r="I19">
        <v>0</v>
      </c>
      <c r="J19">
        <f t="shared" si="0"/>
        <v>17820.199498982478</v>
      </c>
      <c r="S19">
        <v>417.22199999999998</v>
      </c>
      <c r="T19">
        <v>1</v>
      </c>
      <c r="U19">
        <v>0</v>
      </c>
      <c r="V19">
        <f t="shared" si="1"/>
        <v>17820.199498982416</v>
      </c>
    </row>
    <row r="20" spans="2:22">
      <c r="B20">
        <v>5</v>
      </c>
      <c r="C20">
        <v>0</v>
      </c>
      <c r="D20">
        <v>539.91600000000005</v>
      </c>
      <c r="G20">
        <v>539.91600000000005</v>
      </c>
      <c r="H20">
        <v>1</v>
      </c>
      <c r="I20">
        <v>0</v>
      </c>
      <c r="J20">
        <f t="shared" si="0"/>
        <v>116.60371482240468</v>
      </c>
      <c r="S20">
        <v>539.91600000000005</v>
      </c>
      <c r="T20">
        <v>1</v>
      </c>
      <c r="U20">
        <v>0</v>
      </c>
      <c r="V20">
        <f t="shared" si="1"/>
        <v>116.60371482239978</v>
      </c>
    </row>
    <row r="21" spans="2:22">
      <c r="B21">
        <v>11</v>
      </c>
      <c r="C21">
        <v>0</v>
      </c>
      <c r="D21">
        <v>664.95</v>
      </c>
      <c r="G21">
        <v>664.95</v>
      </c>
      <c r="H21">
        <v>1</v>
      </c>
      <c r="I21">
        <v>0</v>
      </c>
      <c r="J21">
        <f t="shared" si="0"/>
        <v>13049.790585062348</v>
      </c>
      <c r="S21">
        <v>664.95</v>
      </c>
      <c r="T21">
        <v>1</v>
      </c>
      <c r="U21">
        <v>0</v>
      </c>
      <c r="V21">
        <f t="shared" si="1"/>
        <v>13049.790585062401</v>
      </c>
    </row>
    <row r="22" spans="2:22">
      <c r="B22">
        <v>6</v>
      </c>
      <c r="C22">
        <v>0</v>
      </c>
      <c r="D22">
        <v>415.35</v>
      </c>
      <c r="G22">
        <v>415.35</v>
      </c>
      <c r="H22">
        <v>1</v>
      </c>
      <c r="I22">
        <v>0</v>
      </c>
      <c r="J22">
        <f t="shared" si="0"/>
        <v>18323.499129062468</v>
      </c>
      <c r="S22">
        <v>415.35</v>
      </c>
      <c r="T22">
        <v>1</v>
      </c>
      <c r="U22">
        <v>0</v>
      </c>
      <c r="V22">
        <f t="shared" si="1"/>
        <v>18323.499129062406</v>
      </c>
    </row>
    <row r="23" spans="2:22">
      <c r="B23">
        <v>7</v>
      </c>
      <c r="C23">
        <v>0</v>
      </c>
      <c r="D23">
        <v>548.49599999999998</v>
      </c>
      <c r="G23">
        <v>548.49599999999998</v>
      </c>
      <c r="H23">
        <v>1</v>
      </c>
      <c r="I23">
        <v>0</v>
      </c>
      <c r="J23">
        <f t="shared" si="0"/>
        <v>4.9209436224012855</v>
      </c>
      <c r="S23">
        <v>548.49599999999998</v>
      </c>
      <c r="T23">
        <v>1</v>
      </c>
      <c r="U23">
        <v>0</v>
      </c>
      <c r="V23">
        <f t="shared" si="1"/>
        <v>4.9209436224002774</v>
      </c>
    </row>
    <row r="24" spans="2:22">
      <c r="B24">
        <v>1</v>
      </c>
      <c r="C24">
        <v>0</v>
      </c>
      <c r="D24">
        <v>404.50799999999998</v>
      </c>
      <c r="G24">
        <v>404.50799999999998</v>
      </c>
      <c r="H24">
        <v>1</v>
      </c>
      <c r="I24">
        <v>0</v>
      </c>
      <c r="J24">
        <f t="shared" si="0"/>
        <v>21376.288007942483</v>
      </c>
      <c r="S24">
        <v>404.50799999999998</v>
      </c>
      <c r="T24">
        <v>1</v>
      </c>
      <c r="U24">
        <v>0</v>
      </c>
      <c r="V24">
        <f t="shared" si="1"/>
        <v>21376.288007942418</v>
      </c>
    </row>
    <row r="25" spans="2:22">
      <c r="B25">
        <v>7</v>
      </c>
      <c r="C25">
        <v>0</v>
      </c>
      <c r="D25">
        <v>592.72199999999998</v>
      </c>
      <c r="G25">
        <v>592.72199999999998</v>
      </c>
      <c r="H25">
        <v>1</v>
      </c>
      <c r="I25">
        <v>0</v>
      </c>
      <c r="J25">
        <f t="shared" si="0"/>
        <v>1764.6451789823757</v>
      </c>
      <c r="S25">
        <v>592.72199999999998</v>
      </c>
      <c r="T25">
        <v>1</v>
      </c>
      <c r="U25">
        <v>0</v>
      </c>
      <c r="V25">
        <f t="shared" si="1"/>
        <v>1764.6451789823948</v>
      </c>
    </row>
    <row r="26" spans="2:22">
      <c r="B26">
        <v>16</v>
      </c>
      <c r="C26">
        <v>0</v>
      </c>
      <c r="D26">
        <v>708.63</v>
      </c>
      <c r="G26">
        <v>708.63</v>
      </c>
      <c r="H26">
        <v>1</v>
      </c>
      <c r="I26">
        <v>0</v>
      </c>
      <c r="J26">
        <f t="shared" si="0"/>
        <v>24937.361989862315</v>
      </c>
      <c r="S26">
        <v>708.63</v>
      </c>
      <c r="T26">
        <v>1</v>
      </c>
      <c r="U26">
        <v>0</v>
      </c>
      <c r="V26">
        <f t="shared" si="1"/>
        <v>24937.361989862384</v>
      </c>
    </row>
    <row r="27" spans="2:22">
      <c r="B27">
        <v>6</v>
      </c>
      <c r="C27">
        <v>0</v>
      </c>
      <c r="D27">
        <v>568.15200000000004</v>
      </c>
      <c r="G27">
        <v>568.15200000000004</v>
      </c>
      <c r="H27">
        <v>1</v>
      </c>
      <c r="I27">
        <v>0</v>
      </c>
      <c r="J27">
        <f t="shared" si="0"/>
        <v>304.07268378239206</v>
      </c>
      <c r="S27">
        <v>568.15200000000004</v>
      </c>
      <c r="T27">
        <v>1</v>
      </c>
      <c r="U27">
        <v>0</v>
      </c>
      <c r="V27">
        <f t="shared" si="1"/>
        <v>304.07268378240002</v>
      </c>
    </row>
    <row r="28" spans="2:22">
      <c r="B28">
        <v>15</v>
      </c>
      <c r="C28">
        <v>0</v>
      </c>
      <c r="D28">
        <v>649.428</v>
      </c>
      <c r="G28">
        <v>649.428</v>
      </c>
      <c r="H28">
        <v>1</v>
      </c>
      <c r="I28">
        <v>0</v>
      </c>
      <c r="J28">
        <f t="shared" si="0"/>
        <v>9744.3906191423466</v>
      </c>
      <c r="S28">
        <v>649.428</v>
      </c>
      <c r="T28">
        <v>1</v>
      </c>
      <c r="U28">
        <v>0</v>
      </c>
      <c r="V28">
        <f t="shared" si="1"/>
        <v>9744.3906191423903</v>
      </c>
    </row>
    <row r="29" spans="2:22">
      <c r="B29">
        <v>8</v>
      </c>
      <c r="C29">
        <v>0</v>
      </c>
      <c r="D29">
        <v>571.35</v>
      </c>
      <c r="G29">
        <v>571.35</v>
      </c>
      <c r="H29">
        <v>1</v>
      </c>
      <c r="I29">
        <v>0</v>
      </c>
      <c r="J29">
        <f t="shared" si="0"/>
        <v>425.83128906238977</v>
      </c>
      <c r="S29">
        <v>571.35</v>
      </c>
      <c r="T29">
        <v>1</v>
      </c>
      <c r="U29">
        <v>0</v>
      </c>
      <c r="V29">
        <f t="shared" si="1"/>
        <v>425.83128906239915</v>
      </c>
    </row>
    <row r="30" spans="2:22">
      <c r="B30">
        <v>4</v>
      </c>
      <c r="C30">
        <v>0</v>
      </c>
      <c r="D30">
        <v>498.81</v>
      </c>
      <c r="G30">
        <v>498.81</v>
      </c>
      <c r="H30">
        <v>1</v>
      </c>
      <c r="I30">
        <v>0</v>
      </c>
      <c r="J30">
        <f t="shared" si="0"/>
        <v>2694.0584346624278</v>
      </c>
      <c r="S30">
        <v>498.81</v>
      </c>
      <c r="T30">
        <v>1</v>
      </c>
      <c r="U30">
        <v>0</v>
      </c>
      <c r="V30">
        <f t="shared" si="1"/>
        <v>2694.0584346624041</v>
      </c>
    </row>
    <row r="31" spans="2:22">
      <c r="B31">
        <v>4</v>
      </c>
      <c r="C31">
        <v>0</v>
      </c>
      <c r="D31">
        <v>448.65600000000001</v>
      </c>
      <c r="G31">
        <v>448.65600000000001</v>
      </c>
      <c r="H31">
        <v>1</v>
      </c>
      <c r="I31">
        <v>0</v>
      </c>
      <c r="J31">
        <f t="shared" si="0"/>
        <v>10415.900681222454</v>
      </c>
      <c r="S31">
        <v>448.65600000000001</v>
      </c>
      <c r="T31">
        <v>1</v>
      </c>
      <c r="U31">
        <v>0</v>
      </c>
      <c r="V31">
        <f t="shared" si="1"/>
        <v>10415.900681222407</v>
      </c>
    </row>
    <row r="32" spans="2:22">
      <c r="B32">
        <v>7</v>
      </c>
      <c r="C32">
        <v>0</v>
      </c>
      <c r="D32">
        <v>443.43</v>
      </c>
      <c r="G32">
        <v>443.43</v>
      </c>
      <c r="H32">
        <v>1</v>
      </c>
      <c r="I32">
        <v>0</v>
      </c>
      <c r="J32">
        <f t="shared" si="0"/>
        <v>11509.925317862457</v>
      </c>
      <c r="S32">
        <v>443.43</v>
      </c>
      <c r="T32">
        <v>1</v>
      </c>
      <c r="U32">
        <v>0</v>
      </c>
      <c r="V32">
        <f t="shared" si="1"/>
        <v>11509.925317862408</v>
      </c>
    </row>
    <row r="33" spans="2:26">
      <c r="B33">
        <v>10</v>
      </c>
      <c r="C33">
        <v>0</v>
      </c>
      <c r="D33">
        <v>607.77599999999995</v>
      </c>
      <c r="G33">
        <v>607.77599999999995</v>
      </c>
      <c r="H33">
        <v>1</v>
      </c>
      <c r="I33">
        <v>0</v>
      </c>
      <c r="J33">
        <f t="shared" si="0"/>
        <v>3256.0353244223638</v>
      </c>
      <c r="S33">
        <v>607.77599999999995</v>
      </c>
      <c r="T33">
        <v>1</v>
      </c>
      <c r="U33">
        <v>0</v>
      </c>
      <c r="V33">
        <f t="shared" si="1"/>
        <v>3256.0353244223897</v>
      </c>
    </row>
    <row r="34" spans="2:26">
      <c r="B34">
        <v>3</v>
      </c>
      <c r="C34">
        <v>0</v>
      </c>
      <c r="D34">
        <v>398.73599999999999</v>
      </c>
      <c r="G34">
        <v>398.73599999999999</v>
      </c>
      <c r="H34">
        <v>1</v>
      </c>
      <c r="I34">
        <v>0</v>
      </c>
      <c r="J34">
        <f t="shared" si="0"/>
        <v>23097.409750022485</v>
      </c>
      <c r="S34">
        <v>398.73599999999999</v>
      </c>
      <c r="T34">
        <v>1</v>
      </c>
      <c r="U34">
        <v>0</v>
      </c>
      <c r="V34">
        <f t="shared" si="1"/>
        <v>23097.409750022416</v>
      </c>
    </row>
    <row r="35" spans="2:26">
      <c r="B35">
        <v>4</v>
      </c>
      <c r="C35">
        <v>0</v>
      </c>
      <c r="D35">
        <v>422.76</v>
      </c>
      <c r="G35">
        <v>422.76</v>
      </c>
      <c r="H35">
        <v>1</v>
      </c>
      <c r="I35">
        <v>0</v>
      </c>
      <c r="J35">
        <f t="shared" si="0"/>
        <v>16372.308006662472</v>
      </c>
      <c r="S35">
        <v>422.76</v>
      </c>
      <c r="T35">
        <v>1</v>
      </c>
      <c r="U35">
        <v>0</v>
      </c>
      <c r="V35">
        <f t="shared" si="1"/>
        <v>16372.308006662413</v>
      </c>
    </row>
    <row r="36" spans="2:26">
      <c r="B36">
        <v>3</v>
      </c>
      <c r="C36">
        <v>0</v>
      </c>
      <c r="D36">
        <v>398.19</v>
      </c>
      <c r="G36">
        <v>398.19</v>
      </c>
      <c r="H36">
        <v>1</v>
      </c>
      <c r="I36">
        <v>0</v>
      </c>
      <c r="J36">
        <f t="shared" ref="J36:J67" si="2">(G36-M$56-M$57*I36)^2</f>
        <v>23263.668191462482</v>
      </c>
      <c r="S36">
        <v>398.19</v>
      </c>
      <c r="T36">
        <v>1</v>
      </c>
      <c r="U36">
        <v>0</v>
      </c>
      <c r="V36">
        <f t="shared" si="1"/>
        <v>23263.668191462413</v>
      </c>
    </row>
    <row r="37" spans="2:26">
      <c r="B37">
        <v>22</v>
      </c>
      <c r="C37">
        <v>0</v>
      </c>
      <c r="D37">
        <v>703.56</v>
      </c>
      <c r="G37">
        <v>703.56</v>
      </c>
      <c r="H37">
        <v>1</v>
      </c>
      <c r="I37">
        <v>0</v>
      </c>
      <c r="J37">
        <f t="shared" si="2"/>
        <v>23361.801894662301</v>
      </c>
      <c r="S37">
        <v>703.56</v>
      </c>
      <c r="T37">
        <v>1</v>
      </c>
      <c r="U37">
        <v>0</v>
      </c>
      <c r="V37">
        <f t="shared" si="1"/>
        <v>23361.801894662371</v>
      </c>
    </row>
    <row r="38" spans="2:26">
      <c r="B38">
        <v>17</v>
      </c>
      <c r="C38">
        <v>0</v>
      </c>
      <c r="D38">
        <v>602.31600000000003</v>
      </c>
      <c r="G38">
        <v>602.31600000000003</v>
      </c>
      <c r="H38">
        <v>1</v>
      </c>
      <c r="I38">
        <v>0</v>
      </c>
      <c r="J38">
        <f t="shared" si="2"/>
        <v>2662.7333788223755</v>
      </c>
      <c r="S38">
        <v>602.31600000000003</v>
      </c>
      <c r="T38">
        <v>1</v>
      </c>
      <c r="U38">
        <v>0</v>
      </c>
      <c r="V38">
        <f t="shared" si="1"/>
        <v>2662.7333788223987</v>
      </c>
    </row>
    <row r="39" spans="2:26">
      <c r="B39">
        <v>11</v>
      </c>
      <c r="C39">
        <v>0</v>
      </c>
      <c r="D39">
        <v>502.55399999999997</v>
      </c>
      <c r="G39">
        <v>502.55399999999997</v>
      </c>
      <c r="H39">
        <v>1</v>
      </c>
      <c r="I39">
        <v>0</v>
      </c>
      <c r="J39">
        <f t="shared" si="2"/>
        <v>2319.4164225024288</v>
      </c>
      <c r="S39">
        <v>502.55399999999997</v>
      </c>
      <c r="T39">
        <v>1</v>
      </c>
      <c r="U39">
        <v>0</v>
      </c>
      <c r="V39">
        <f t="shared" si="1"/>
        <v>2319.4164225024069</v>
      </c>
    </row>
    <row r="40" spans="2:26">
      <c r="B40">
        <v>15</v>
      </c>
      <c r="C40">
        <v>0</v>
      </c>
      <c r="D40">
        <v>608.16600000000005</v>
      </c>
      <c r="G40">
        <v>608.16600000000005</v>
      </c>
      <c r="H40">
        <v>1</v>
      </c>
      <c r="I40">
        <v>0</v>
      </c>
      <c r="J40">
        <f t="shared" si="2"/>
        <v>3300.6955348223751</v>
      </c>
      <c r="S40">
        <v>608.16600000000005</v>
      </c>
      <c r="T40">
        <v>1</v>
      </c>
      <c r="U40">
        <v>0</v>
      </c>
      <c r="V40">
        <f t="shared" si="1"/>
        <v>3300.695534822401</v>
      </c>
    </row>
    <row r="41" spans="2:26">
      <c r="B41">
        <v>6</v>
      </c>
      <c r="C41">
        <v>0</v>
      </c>
      <c r="D41">
        <v>410.59199999999998</v>
      </c>
      <c r="G41">
        <v>410.59199999999998</v>
      </c>
      <c r="H41">
        <v>1</v>
      </c>
      <c r="I41">
        <v>0</v>
      </c>
      <c r="J41">
        <f t="shared" si="2"/>
        <v>19634.264562182481</v>
      </c>
      <c r="S41">
        <v>410.59199999999998</v>
      </c>
      <c r="T41">
        <v>1</v>
      </c>
      <c r="U41">
        <v>0</v>
      </c>
      <c r="V41">
        <f t="shared" si="1"/>
        <v>19634.264562182416</v>
      </c>
    </row>
    <row r="42" spans="2:26">
      <c r="B42">
        <v>10</v>
      </c>
      <c r="C42">
        <v>0</v>
      </c>
      <c r="D42">
        <v>577.59</v>
      </c>
      <c r="G42">
        <v>577.59</v>
      </c>
      <c r="H42">
        <v>1</v>
      </c>
      <c r="I42">
        <v>0</v>
      </c>
      <c r="J42">
        <f t="shared" si="2"/>
        <v>722.30217546238714</v>
      </c>
      <c r="S42">
        <v>577.59</v>
      </c>
      <c r="T42">
        <v>1</v>
      </c>
      <c r="U42">
        <v>0</v>
      </c>
      <c r="V42">
        <f t="shared" si="1"/>
        <v>722.30217546239942</v>
      </c>
    </row>
    <row r="43" spans="2:26">
      <c r="B43">
        <v>13</v>
      </c>
      <c r="C43">
        <v>0</v>
      </c>
      <c r="D43">
        <v>620.95799999999997</v>
      </c>
      <c r="G43">
        <v>620.95799999999997</v>
      </c>
      <c r="H43">
        <v>1</v>
      </c>
      <c r="I43">
        <v>0</v>
      </c>
      <c r="J43">
        <f t="shared" si="2"/>
        <v>4934.1745799423579</v>
      </c>
      <c r="S43">
        <v>620.95799999999997</v>
      </c>
      <c r="T43">
        <v>1</v>
      </c>
      <c r="U43">
        <v>0</v>
      </c>
      <c r="V43">
        <f t="shared" si="1"/>
        <v>4934.1745799423898</v>
      </c>
    </row>
    <row r="44" spans="2:26">
      <c r="B44">
        <v>9</v>
      </c>
      <c r="C44">
        <v>0</v>
      </c>
      <c r="D44">
        <v>530.63400000000001</v>
      </c>
      <c r="G44">
        <v>530.63400000000001</v>
      </c>
      <c r="H44">
        <v>1</v>
      </c>
      <c r="I44">
        <v>0</v>
      </c>
      <c r="J44">
        <f t="shared" si="2"/>
        <v>403.21925130241027</v>
      </c>
      <c r="S44">
        <v>530.63400000000001</v>
      </c>
      <c r="T44">
        <v>1</v>
      </c>
      <c r="U44">
        <v>0</v>
      </c>
      <c r="V44">
        <f t="shared" si="1"/>
        <v>403.21925130240118</v>
      </c>
    </row>
    <row r="45" spans="2:26">
      <c r="B45">
        <v>24</v>
      </c>
      <c r="C45">
        <v>0</v>
      </c>
      <c r="D45">
        <v>671.346</v>
      </c>
      <c r="G45">
        <v>671.346</v>
      </c>
      <c r="H45">
        <v>1</v>
      </c>
      <c r="I45">
        <v>0</v>
      </c>
      <c r="J45">
        <f t="shared" si="2"/>
        <v>14552.002219622336</v>
      </c>
      <c r="S45">
        <v>671.346</v>
      </c>
      <c r="T45">
        <v>1</v>
      </c>
      <c r="U45">
        <v>0</v>
      </c>
      <c r="V45">
        <f t="shared" si="1"/>
        <v>14552.002219622391</v>
      </c>
    </row>
    <row r="46" spans="2:26">
      <c r="B46">
        <v>21</v>
      </c>
      <c r="C46">
        <v>0</v>
      </c>
      <c r="D46">
        <v>731.56200000000001</v>
      </c>
      <c r="G46">
        <v>731.56200000000001</v>
      </c>
      <c r="H46">
        <v>1</v>
      </c>
      <c r="I46">
        <v>0</v>
      </c>
      <c r="J46">
        <f t="shared" si="2"/>
        <v>32705.883361382308</v>
      </c>
      <c r="L46" s="38" t="s">
        <v>93</v>
      </c>
      <c r="M46" s="40">
        <f t="array" ref="M46:N47">MMULT(TRANSPOSE(H4:I93),H4:I93)</f>
        <v>90</v>
      </c>
      <c r="N46" s="41">
        <v>40</v>
      </c>
      <c r="S46">
        <v>731.56200000000001</v>
      </c>
      <c r="T46">
        <v>1</v>
      </c>
      <c r="U46">
        <v>0</v>
      </c>
      <c r="V46">
        <f t="shared" si="1"/>
        <v>32705.883361382388</v>
      </c>
      <c r="X46" s="38" t="s">
        <v>93</v>
      </c>
      <c r="Y46" s="40">
        <f t="array" ref="Y46:Z47">MMULT(TRANSPOSE(T4:U93),T4:U93)</f>
        <v>50</v>
      </c>
      <c r="Z46" s="41">
        <v>0</v>
      </c>
    </row>
    <row r="47" spans="2:26">
      <c r="B47">
        <v>5</v>
      </c>
      <c r="C47">
        <v>0</v>
      </c>
      <c r="D47">
        <v>521.03999999999905</v>
      </c>
      <c r="G47">
        <v>521.03999999999905</v>
      </c>
      <c r="H47">
        <v>1</v>
      </c>
      <c r="I47">
        <v>0</v>
      </c>
      <c r="J47">
        <f t="shared" si="2"/>
        <v>880.56526746247221</v>
      </c>
      <c r="L47" s="38"/>
      <c r="M47" s="40">
        <v>40</v>
      </c>
      <c r="N47" s="41">
        <v>40</v>
      </c>
      <c r="S47">
        <v>521.03999999999905</v>
      </c>
      <c r="T47">
        <v>1</v>
      </c>
      <c r="U47">
        <v>0</v>
      </c>
      <c r="V47">
        <f t="shared" si="1"/>
        <v>880.56526746245868</v>
      </c>
      <c r="X47" s="38"/>
      <c r="Y47" s="40">
        <v>0</v>
      </c>
      <c r="Z47" s="41">
        <v>40</v>
      </c>
    </row>
    <row r="48" spans="2:26">
      <c r="B48">
        <v>10</v>
      </c>
      <c r="C48">
        <v>0</v>
      </c>
      <c r="D48">
        <v>558.09</v>
      </c>
      <c r="G48">
        <v>558.09</v>
      </c>
      <c r="H48">
        <v>1</v>
      </c>
      <c r="I48">
        <v>0</v>
      </c>
      <c r="J48">
        <f t="shared" si="2"/>
        <v>54.400655462396479</v>
      </c>
      <c r="L48" s="38"/>
      <c r="S48">
        <v>558.09</v>
      </c>
      <c r="T48">
        <v>1</v>
      </c>
      <c r="U48">
        <v>0</v>
      </c>
      <c r="V48">
        <f t="shared" si="1"/>
        <v>54.400655462399833</v>
      </c>
      <c r="X48" s="38"/>
    </row>
    <row r="49" spans="2:29" ht="17.25">
      <c r="B49">
        <v>6</v>
      </c>
      <c r="C49">
        <v>0</v>
      </c>
      <c r="D49">
        <v>449.98200000000003</v>
      </c>
      <c r="G49">
        <v>449.98200000000003</v>
      </c>
      <c r="H49">
        <v>1</v>
      </c>
      <c r="I49">
        <v>0</v>
      </c>
      <c r="J49">
        <f t="shared" si="2"/>
        <v>10147.000292582448</v>
      </c>
      <c r="L49" s="38" t="s">
        <v>94</v>
      </c>
      <c r="M49" s="40">
        <f t="array" ref="M49:N50">MINVERSE(M46:N47)</f>
        <v>0.02</v>
      </c>
      <c r="N49" s="41">
        <v>-1.9999999999999997E-2</v>
      </c>
      <c r="S49">
        <v>449.98200000000003</v>
      </c>
      <c r="T49">
        <v>1</v>
      </c>
      <c r="U49">
        <v>0</v>
      </c>
      <c r="V49">
        <f t="shared" si="1"/>
        <v>10147.000292582403</v>
      </c>
      <c r="X49" s="38" t="s">
        <v>94</v>
      </c>
      <c r="Y49" s="40">
        <f t="array" ref="Y49:Z50">MINVERSE(Y46:Z47)</f>
        <v>0.02</v>
      </c>
      <c r="Z49" s="41">
        <v>0</v>
      </c>
    </row>
    <row r="50" spans="2:29">
      <c r="B50">
        <v>7</v>
      </c>
      <c r="C50">
        <v>0</v>
      </c>
      <c r="D50">
        <v>525.72</v>
      </c>
      <c r="G50">
        <v>525.72</v>
      </c>
      <c r="H50">
        <v>1</v>
      </c>
      <c r="I50">
        <v>0</v>
      </c>
      <c r="J50">
        <f t="shared" si="2"/>
        <v>624.71603226241211</v>
      </c>
      <c r="M50" s="40">
        <v>-0.02</v>
      </c>
      <c r="N50" s="41">
        <v>4.4999999999999998E-2</v>
      </c>
      <c r="S50">
        <v>525.72</v>
      </c>
      <c r="T50">
        <v>1</v>
      </c>
      <c r="U50">
        <v>0</v>
      </c>
      <c r="V50">
        <f t="shared" si="1"/>
        <v>624.71603226240086</v>
      </c>
      <c r="Y50" s="40">
        <v>0</v>
      </c>
      <c r="Z50" s="41">
        <v>2.5000000000000001E-2</v>
      </c>
    </row>
    <row r="51" spans="2:29">
      <c r="B51">
        <v>15</v>
      </c>
      <c r="C51">
        <v>0</v>
      </c>
      <c r="D51">
        <v>671.11199999999997</v>
      </c>
      <c r="G51">
        <v>671.11199999999997</v>
      </c>
      <c r="H51">
        <v>1</v>
      </c>
      <c r="I51">
        <v>0</v>
      </c>
      <c r="J51">
        <f t="shared" si="2"/>
        <v>14495.601349382327</v>
      </c>
      <c r="S51">
        <v>671.11199999999997</v>
      </c>
      <c r="T51">
        <v>1</v>
      </c>
      <c r="U51">
        <v>0</v>
      </c>
      <c r="V51">
        <f t="shared" si="1"/>
        <v>14495.601349382381</v>
      </c>
    </row>
    <row r="52" spans="2:29">
      <c r="B52">
        <v>3</v>
      </c>
      <c r="C52">
        <v>0</v>
      </c>
      <c r="D52">
        <v>427.90800000000002</v>
      </c>
      <c r="G52">
        <v>427.90800000000002</v>
      </c>
      <c r="H52">
        <v>1</v>
      </c>
      <c r="I52">
        <v>0</v>
      </c>
      <c r="J52">
        <f t="shared" si="2"/>
        <v>15081.392231942462</v>
      </c>
      <c r="L52" s="38" t="s">
        <v>95</v>
      </c>
      <c r="M52" s="42">
        <f t="array" ref="M52:M53">MMULT(TRANSPOSE(H4:I93),G4:G93)</f>
        <v>41025.888000000006</v>
      </c>
      <c r="S52">
        <v>427.90800000000002</v>
      </c>
      <c r="T52">
        <v>1</v>
      </c>
      <c r="U52">
        <v>0</v>
      </c>
      <c r="V52">
        <f t="shared" si="1"/>
        <v>15081.392231942407</v>
      </c>
      <c r="X52" s="38" t="s">
        <v>95</v>
      </c>
      <c r="Y52" s="42">
        <f t="array" ref="Y52:Y53">MMULT(TRANSPOSE(T4:U93),S4:S93)</f>
        <v>27535.716</v>
      </c>
    </row>
    <row r="53" spans="2:29">
      <c r="B53">
        <v>14</v>
      </c>
      <c r="C53">
        <v>0</v>
      </c>
      <c r="D53">
        <v>592.33199999999999</v>
      </c>
      <c r="G53">
        <v>592.33199999999999</v>
      </c>
      <c r="H53">
        <v>1</v>
      </c>
      <c r="I53">
        <v>0</v>
      </c>
      <c r="J53">
        <f t="shared" si="2"/>
        <v>1732.0312885823769</v>
      </c>
      <c r="M53" s="42">
        <v>13490.171999999999</v>
      </c>
      <c r="O53" s="39" t="s">
        <v>114</v>
      </c>
      <c r="P53">
        <f>(J94/(90-2))^0.5</f>
        <v>87.896639367916862</v>
      </c>
      <c r="S53">
        <v>592.33199999999999</v>
      </c>
      <c r="T53">
        <v>1</v>
      </c>
      <c r="U53">
        <v>0</v>
      </c>
      <c r="V53">
        <f t="shared" si="1"/>
        <v>1732.031288582396</v>
      </c>
      <c r="Y53" s="42">
        <v>13490.171999999999</v>
      </c>
      <c r="AA53" s="39" t="s">
        <v>114</v>
      </c>
      <c r="AB53">
        <f>(V94/(90-2))^0.5</f>
        <v>87.896639367916876</v>
      </c>
    </row>
    <row r="54" spans="2:29">
      <c r="B54">
        <v>15</v>
      </c>
      <c r="C54" s="52">
        <v>1</v>
      </c>
      <c r="D54">
        <v>349.38</v>
      </c>
      <c r="G54">
        <v>349.38</v>
      </c>
      <c r="H54">
        <v>1</v>
      </c>
      <c r="I54" s="52">
        <v>1</v>
      </c>
      <c r="J54">
        <f t="shared" si="2"/>
        <v>147.03260048999849</v>
      </c>
      <c r="S54">
        <v>349.38</v>
      </c>
      <c r="T54">
        <v>0</v>
      </c>
      <c r="U54" s="52">
        <v>1</v>
      </c>
      <c r="V54">
        <f t="shared" si="1"/>
        <v>147.03260048999988</v>
      </c>
    </row>
    <row r="55" spans="2:29">
      <c r="B55">
        <v>1</v>
      </c>
      <c r="C55" s="52">
        <v>1</v>
      </c>
      <c r="D55">
        <v>218.05199999999999</v>
      </c>
      <c r="G55">
        <v>218.05199999999999</v>
      </c>
      <c r="H55">
        <v>1</v>
      </c>
      <c r="I55" s="52">
        <v>1</v>
      </c>
      <c r="J55">
        <f t="shared" si="2"/>
        <v>14209.188325290008</v>
      </c>
      <c r="S55">
        <v>218.05199999999999</v>
      </c>
      <c r="T55">
        <v>0</v>
      </c>
      <c r="U55" s="52">
        <v>1</v>
      </c>
      <c r="V55">
        <f t="shared" si="1"/>
        <v>14209.188325290002</v>
      </c>
    </row>
    <row r="56" spans="2:29">
      <c r="B56">
        <v>12</v>
      </c>
      <c r="C56" s="52">
        <v>1</v>
      </c>
      <c r="D56">
        <v>387.39600000000002</v>
      </c>
      <c r="G56">
        <v>387.39600000000002</v>
      </c>
      <c r="H56">
        <v>1</v>
      </c>
      <c r="I56" s="52">
        <v>1</v>
      </c>
      <c r="J56">
        <f t="shared" si="2"/>
        <v>2514.1900788899957</v>
      </c>
      <c r="L56" s="39" t="s">
        <v>96</v>
      </c>
      <c r="M56" s="42">
        <f t="array" ref="M56:M57">MMULT(M49:N50,M52:M53)</f>
        <v>550.71432000000027</v>
      </c>
      <c r="S56">
        <v>387.39600000000002</v>
      </c>
      <c r="T56">
        <v>0</v>
      </c>
      <c r="U56" s="52">
        <v>1</v>
      </c>
      <c r="V56">
        <f t="shared" si="1"/>
        <v>2514.1900788900016</v>
      </c>
      <c r="X56" s="39" t="s">
        <v>96</v>
      </c>
      <c r="Y56" s="42">
        <f t="array" ref="Y56:Y57">MMULT(Y49:Z50,Y52:Y53)</f>
        <v>550.71432000000004</v>
      </c>
    </row>
    <row r="57" spans="2:29">
      <c r="B57">
        <v>9</v>
      </c>
      <c r="C57" s="52">
        <v>1</v>
      </c>
      <c r="D57">
        <v>346.35599999999999</v>
      </c>
      <c r="G57">
        <v>346.35599999999999</v>
      </c>
      <c r="H57">
        <v>1</v>
      </c>
      <c r="I57" s="52">
        <v>1</v>
      </c>
      <c r="J57">
        <f t="shared" si="2"/>
        <v>82.840942889998857</v>
      </c>
      <c r="M57" s="42">
        <v>-213.46002000000021</v>
      </c>
      <c r="S57">
        <v>346.35599999999999</v>
      </c>
      <c r="T57">
        <v>0</v>
      </c>
      <c r="U57" s="52">
        <v>1</v>
      </c>
      <c r="V57">
        <f t="shared" si="1"/>
        <v>82.840942889999894</v>
      </c>
      <c r="Y57" s="42">
        <v>337.2543</v>
      </c>
    </row>
    <row r="58" spans="2:29">
      <c r="B58">
        <v>5</v>
      </c>
      <c r="C58" s="52">
        <v>1</v>
      </c>
      <c r="D58">
        <v>256.01400000000001</v>
      </c>
      <c r="G58">
        <v>256.01400000000001</v>
      </c>
      <c r="H58">
        <v>1</v>
      </c>
      <c r="I58" s="52">
        <v>1</v>
      </c>
      <c r="J58">
        <f t="shared" si="2"/>
        <v>6599.9863440900081</v>
      </c>
      <c r="S58">
        <v>256.01400000000001</v>
      </c>
      <c r="T58">
        <v>0</v>
      </c>
      <c r="U58" s="52">
        <v>1</v>
      </c>
      <c r="V58">
        <f t="shared" si="1"/>
        <v>6599.9863440899981</v>
      </c>
    </row>
    <row r="59" spans="2:29">
      <c r="B59">
        <v>3</v>
      </c>
      <c r="C59" s="52">
        <v>1</v>
      </c>
      <c r="D59">
        <v>251.04599999999999</v>
      </c>
      <c r="G59">
        <v>251.04599999999999</v>
      </c>
      <c r="H59">
        <v>1</v>
      </c>
      <c r="I59" s="52">
        <v>1</v>
      </c>
      <c r="J59">
        <f t="shared" si="2"/>
        <v>7431.8709888900112</v>
      </c>
      <c r="M59" s="40">
        <f t="array" ref="M59:N60">P53^2*M49:N50</f>
        <v>154.51638424347263</v>
      </c>
      <c r="N59" s="41">
        <v>-154.51638424347263</v>
      </c>
      <c r="S59">
        <v>251.04599999999999</v>
      </c>
      <c r="T59">
        <v>0</v>
      </c>
      <c r="U59" s="52">
        <v>1</v>
      </c>
      <c r="V59">
        <f t="shared" si="1"/>
        <v>7431.8709888900012</v>
      </c>
      <c r="Y59" s="40">
        <f t="array" ref="Y59:Z60">AB53^2*Y49:Z50</f>
        <v>154.51638424347269</v>
      </c>
      <c r="Z59" s="41">
        <v>0</v>
      </c>
    </row>
    <row r="60" spans="2:29">
      <c r="B60">
        <v>7</v>
      </c>
      <c r="C60" s="52">
        <v>1</v>
      </c>
      <c r="D60">
        <v>273.34800000000001</v>
      </c>
      <c r="G60">
        <v>273.34800000000001</v>
      </c>
      <c r="H60">
        <v>1</v>
      </c>
      <c r="I60" s="52">
        <v>1</v>
      </c>
      <c r="J60">
        <f t="shared" si="2"/>
        <v>4084.0151796900059</v>
      </c>
      <c r="L60" s="46" t="s">
        <v>128</v>
      </c>
      <c r="M60" s="40">
        <v>-154.51638424347263</v>
      </c>
      <c r="N60" s="41">
        <v>347.66186454781342</v>
      </c>
      <c r="S60">
        <v>273.34800000000001</v>
      </c>
      <c r="T60">
        <v>0</v>
      </c>
      <c r="U60" s="52">
        <v>1</v>
      </c>
      <c r="V60">
        <f t="shared" si="1"/>
        <v>4084.0151796899986</v>
      </c>
      <c r="X60" s="46" t="s">
        <v>128</v>
      </c>
      <c r="Y60" s="40">
        <v>0</v>
      </c>
      <c r="Z60" s="41">
        <v>193.14548030434088</v>
      </c>
    </row>
    <row r="61" spans="2:29">
      <c r="B61">
        <v>17</v>
      </c>
      <c r="C61" s="52">
        <v>1</v>
      </c>
      <c r="D61">
        <v>397.71</v>
      </c>
      <c r="G61">
        <v>397.71</v>
      </c>
      <c r="H61">
        <v>1</v>
      </c>
      <c r="I61" s="52">
        <v>1</v>
      </c>
      <c r="J61">
        <f t="shared" si="2"/>
        <v>3654.8916624899907</v>
      </c>
      <c r="S61">
        <v>397.71</v>
      </c>
      <c r="T61">
        <v>0</v>
      </c>
      <c r="U61" s="52">
        <v>1</v>
      </c>
      <c r="V61">
        <f t="shared" si="1"/>
        <v>3654.8916624899975</v>
      </c>
    </row>
    <row r="62" spans="2:29">
      <c r="B62">
        <v>19</v>
      </c>
      <c r="C62" s="52">
        <v>1</v>
      </c>
      <c r="D62">
        <v>392.202</v>
      </c>
      <c r="G62">
        <v>392.202</v>
      </c>
      <c r="H62">
        <v>1</v>
      </c>
      <c r="I62" s="52">
        <v>1</v>
      </c>
      <c r="J62">
        <f t="shared" si="2"/>
        <v>3019.2497352899936</v>
      </c>
      <c r="L62" s="38" t="s">
        <v>116</v>
      </c>
      <c r="M62" s="40">
        <v>0</v>
      </c>
      <c r="N62" s="41">
        <v>1</v>
      </c>
      <c r="P62" s="38" t="s">
        <v>117</v>
      </c>
      <c r="Q62">
        <v>0</v>
      </c>
      <c r="S62">
        <v>392.202</v>
      </c>
      <c r="T62">
        <v>0</v>
      </c>
      <c r="U62" s="52">
        <v>1</v>
      </c>
      <c r="V62">
        <f t="shared" si="1"/>
        <v>3019.2497352899995</v>
      </c>
      <c r="X62" s="38" t="s">
        <v>116</v>
      </c>
      <c r="Y62" s="40">
        <v>1</v>
      </c>
      <c r="Z62" s="41">
        <v>-1</v>
      </c>
      <c r="AB62" s="38" t="s">
        <v>117</v>
      </c>
      <c r="AC62">
        <v>0</v>
      </c>
    </row>
    <row r="63" spans="2:29">
      <c r="B63">
        <v>15</v>
      </c>
      <c r="C63" s="52">
        <v>1</v>
      </c>
      <c r="D63">
        <v>394.25400000000002</v>
      </c>
      <c r="G63">
        <v>394.25400000000002</v>
      </c>
      <c r="H63">
        <v>1</v>
      </c>
      <c r="I63" s="52">
        <v>1</v>
      </c>
      <c r="J63">
        <f t="shared" si="2"/>
        <v>3248.9658000899958</v>
      </c>
      <c r="S63">
        <v>394.25400000000002</v>
      </c>
      <c r="T63">
        <v>0</v>
      </c>
      <c r="U63" s="52">
        <v>1</v>
      </c>
      <c r="V63">
        <f t="shared" si="1"/>
        <v>3248.9658000900022</v>
      </c>
    </row>
    <row r="64" spans="2:29">
      <c r="B64">
        <v>6</v>
      </c>
      <c r="C64" s="52">
        <v>1</v>
      </c>
      <c r="D64">
        <v>285.17399999999998</v>
      </c>
      <c r="G64">
        <v>285.17399999999998</v>
      </c>
      <c r="H64">
        <v>1</v>
      </c>
      <c r="I64" s="52">
        <v>1</v>
      </c>
      <c r="J64">
        <f t="shared" si="2"/>
        <v>2712.3576480900083</v>
      </c>
      <c r="S64">
        <v>285.17399999999998</v>
      </c>
      <c r="T64">
        <v>0</v>
      </c>
      <c r="U64" s="52">
        <v>1</v>
      </c>
      <c r="V64">
        <f t="shared" si="1"/>
        <v>2712.3576480900024</v>
      </c>
    </row>
    <row r="65" spans="2:25">
      <c r="B65">
        <v>3</v>
      </c>
      <c r="C65" s="52">
        <v>1</v>
      </c>
      <c r="D65">
        <v>244.566</v>
      </c>
      <c r="G65">
        <v>244.566</v>
      </c>
      <c r="H65">
        <v>1</v>
      </c>
      <c r="I65" s="52">
        <v>1</v>
      </c>
      <c r="J65">
        <f t="shared" si="2"/>
        <v>8591.1209568900049</v>
      </c>
      <c r="L65" s="38" t="s">
        <v>118</v>
      </c>
      <c r="M65">
        <f>MMULT(M62:N62,M56:M57)</f>
        <v>-213.46002000000021</v>
      </c>
      <c r="S65">
        <v>244.566</v>
      </c>
      <c r="T65">
        <v>0</v>
      </c>
      <c r="U65" s="52">
        <v>1</v>
      </c>
      <c r="V65">
        <f t="shared" si="1"/>
        <v>8591.1209568899994</v>
      </c>
      <c r="X65" s="38" t="s">
        <v>118</v>
      </c>
      <c r="Y65">
        <f>MMULT(Y62:Z62,Y56:Y57)</f>
        <v>213.46002000000004</v>
      </c>
    </row>
    <row r="66" spans="2:25" ht="17.25">
      <c r="B66">
        <v>17</v>
      </c>
      <c r="C66" s="52">
        <v>1</v>
      </c>
      <c r="D66">
        <v>387.61200000000002</v>
      </c>
      <c r="G66">
        <v>387.61200000000002</v>
      </c>
      <c r="H66">
        <v>1</v>
      </c>
      <c r="I66" s="52">
        <v>1</v>
      </c>
      <c r="J66">
        <f t="shared" si="2"/>
        <v>2535.8979492899966</v>
      </c>
      <c r="L66" s="51" t="s">
        <v>120</v>
      </c>
      <c r="M66">
        <f t="array" ref="M66">MINVERSE(MMULT(MMULT(M62:N62,M59:N60),TRANSPOSE(M62:N62)))</f>
        <v>2.8763580420321641E-3</v>
      </c>
      <c r="S66">
        <v>387.61200000000002</v>
      </c>
      <c r="T66">
        <v>0</v>
      </c>
      <c r="U66" s="52">
        <v>1</v>
      </c>
      <c r="V66">
        <f t="shared" si="1"/>
        <v>2535.8979492900021</v>
      </c>
      <c r="X66" s="51" t="s">
        <v>120</v>
      </c>
      <c r="Y66">
        <f t="array" ref="Y66">MINVERSE(MMULT(MMULT(Y62:Z62,Y59:Z60),TRANSPOSE(Y62:Z62)))</f>
        <v>2.8763580420321623E-3</v>
      </c>
    </row>
    <row r="67" spans="2:25">
      <c r="B67">
        <v>4</v>
      </c>
      <c r="C67" s="52">
        <v>1</v>
      </c>
      <c r="D67">
        <v>253.31399999999999</v>
      </c>
      <c r="G67">
        <v>253.31399999999999</v>
      </c>
      <c r="H67">
        <v>1</v>
      </c>
      <c r="I67" s="52">
        <v>1</v>
      </c>
      <c r="J67">
        <f t="shared" si="2"/>
        <v>7045.9739640900152</v>
      </c>
      <c r="L67" s="38" t="s">
        <v>118</v>
      </c>
      <c r="M67">
        <f>MMULT(M62:N62,M56:M57)</f>
        <v>-213.46002000000021</v>
      </c>
      <c r="S67">
        <v>253.31399999999999</v>
      </c>
      <c r="T67">
        <v>0</v>
      </c>
      <c r="U67" s="52">
        <v>1</v>
      </c>
      <c r="V67">
        <f t="shared" si="1"/>
        <v>7045.9739640900016</v>
      </c>
      <c r="X67" s="38" t="s">
        <v>118</v>
      </c>
      <c r="Y67">
        <f>MMULT(Y62:Z62,Y56:Y57)</f>
        <v>213.46002000000004</v>
      </c>
    </row>
    <row r="68" spans="2:25">
      <c r="B68">
        <v>10</v>
      </c>
      <c r="C68" s="52">
        <v>1</v>
      </c>
      <c r="D68">
        <v>333.61200000000002</v>
      </c>
      <c r="G68">
        <v>333.61200000000002</v>
      </c>
      <c r="H68">
        <v>1</v>
      </c>
      <c r="I68" s="52">
        <v>1</v>
      </c>
      <c r="J68">
        <f t="shared" ref="J68:J93" si="3">(G68-M$56-M$57*I68)^2</f>
        <v>13.26634929000025</v>
      </c>
      <c r="S68">
        <v>333.61200000000002</v>
      </c>
      <c r="T68">
        <v>0</v>
      </c>
      <c r="U68" s="52">
        <v>1</v>
      </c>
      <c r="V68">
        <f t="shared" si="1"/>
        <v>13.266349289999836</v>
      </c>
    </row>
    <row r="69" spans="2:25">
      <c r="B69">
        <v>4</v>
      </c>
      <c r="C69" s="52">
        <v>1</v>
      </c>
      <c r="D69">
        <v>292.95</v>
      </c>
      <c r="G69">
        <v>292.95</v>
      </c>
      <c r="H69">
        <v>1</v>
      </c>
      <c r="I69" s="52">
        <v>1</v>
      </c>
      <c r="J69">
        <f t="shared" si="3"/>
        <v>1962.8709984900061</v>
      </c>
      <c r="L69" s="38" t="s">
        <v>129</v>
      </c>
      <c r="M69">
        <f>M65*M66*M67</f>
        <v>131.06177232773248</v>
      </c>
      <c r="S69">
        <v>292.95</v>
      </c>
      <c r="T69">
        <v>0</v>
      </c>
      <c r="U69" s="52">
        <v>1</v>
      </c>
      <c r="V69">
        <f t="shared" ref="V69:V93" si="4">(S69-Y$56*T69-Y$57*U69)^2</f>
        <v>1962.8709984900011</v>
      </c>
      <c r="X69" s="38" t="s">
        <v>129</v>
      </c>
      <c r="Y69">
        <f>Y65*Y66*Y67</f>
        <v>131.0617723277322</v>
      </c>
    </row>
    <row r="70" spans="2:25">
      <c r="B70">
        <v>11</v>
      </c>
      <c r="C70" s="52">
        <v>1</v>
      </c>
      <c r="D70">
        <v>374.92200000000003</v>
      </c>
      <c r="G70">
        <v>374.92200000000003</v>
      </c>
      <c r="H70">
        <v>1</v>
      </c>
      <c r="I70" s="52">
        <v>1</v>
      </c>
      <c r="J70">
        <f t="shared" si="3"/>
        <v>1418.8556232899975</v>
      </c>
      <c r="S70">
        <v>374.92200000000003</v>
      </c>
      <c r="T70">
        <v>0</v>
      </c>
      <c r="U70" s="52">
        <v>1</v>
      </c>
      <c r="V70">
        <f t="shared" si="4"/>
        <v>1418.8556232900019</v>
      </c>
    </row>
    <row r="71" spans="2:25">
      <c r="B71">
        <v>10</v>
      </c>
      <c r="C71" s="52">
        <v>1</v>
      </c>
      <c r="D71">
        <v>387.45</v>
      </c>
      <c r="G71">
        <v>387.45</v>
      </c>
      <c r="H71">
        <v>1</v>
      </c>
      <c r="I71" s="52">
        <v>1</v>
      </c>
      <c r="J71">
        <f t="shared" si="3"/>
        <v>2519.6082984899931</v>
      </c>
      <c r="S71">
        <v>387.45</v>
      </c>
      <c r="T71">
        <v>0</v>
      </c>
      <c r="U71" s="52">
        <v>1</v>
      </c>
      <c r="V71">
        <f t="shared" si="4"/>
        <v>2519.608298489999</v>
      </c>
    </row>
    <row r="72" spans="2:25">
      <c r="B72">
        <v>7</v>
      </c>
      <c r="C72" s="52">
        <v>1</v>
      </c>
      <c r="D72">
        <v>307.52999999999997</v>
      </c>
      <c r="G72">
        <v>307.52999999999997</v>
      </c>
      <c r="H72">
        <v>1</v>
      </c>
      <c r="I72" s="52">
        <v>1</v>
      </c>
      <c r="J72">
        <f t="shared" si="3"/>
        <v>883.53401049000502</v>
      </c>
      <c r="S72">
        <v>307.52999999999997</v>
      </c>
      <c r="T72">
        <v>0</v>
      </c>
      <c r="U72" s="52">
        <v>1</v>
      </c>
      <c r="V72">
        <f t="shared" si="4"/>
        <v>883.53401049000161</v>
      </c>
    </row>
    <row r="73" spans="2:25">
      <c r="B73">
        <v>3</v>
      </c>
      <c r="C73" s="52">
        <v>1</v>
      </c>
      <c r="D73">
        <v>268.97399999999999</v>
      </c>
      <c r="G73">
        <v>268.97399999999999</v>
      </c>
      <c r="H73">
        <v>1</v>
      </c>
      <c r="I73" s="52">
        <v>1</v>
      </c>
      <c r="J73">
        <f t="shared" si="3"/>
        <v>4662.1993680900096</v>
      </c>
      <c r="S73">
        <v>268.97399999999999</v>
      </c>
      <c r="T73">
        <v>0</v>
      </c>
      <c r="U73" s="52">
        <v>1</v>
      </c>
      <c r="V73">
        <f t="shared" si="4"/>
        <v>4662.1993680900014</v>
      </c>
    </row>
    <row r="74" spans="2:25">
      <c r="B74">
        <v>20</v>
      </c>
      <c r="C74" s="52">
        <v>1</v>
      </c>
      <c r="D74">
        <v>406.72799999999904</v>
      </c>
      <c r="G74">
        <v>406.72799999999904</v>
      </c>
      <c r="H74">
        <v>1</v>
      </c>
      <c r="I74" s="52">
        <v>1</v>
      </c>
      <c r="J74">
        <f t="shared" si="3"/>
        <v>4826.5949916898589</v>
      </c>
      <c r="S74">
        <v>406.72799999999904</v>
      </c>
      <c r="T74">
        <v>0</v>
      </c>
      <c r="U74" s="52">
        <v>1</v>
      </c>
      <c r="V74">
        <f t="shared" si="4"/>
        <v>4826.5949916898671</v>
      </c>
    </row>
    <row r="75" spans="2:25">
      <c r="B75">
        <v>16</v>
      </c>
      <c r="C75" s="52">
        <v>1</v>
      </c>
      <c r="D75">
        <v>363.20400000000001</v>
      </c>
      <c r="G75">
        <v>363.20400000000001</v>
      </c>
      <c r="H75">
        <v>1</v>
      </c>
      <c r="I75" s="52">
        <v>1</v>
      </c>
      <c r="J75">
        <f t="shared" si="3"/>
        <v>673.38693008999746</v>
      </c>
      <c r="S75">
        <v>363.20400000000001</v>
      </c>
      <c r="T75">
        <v>0</v>
      </c>
      <c r="U75" s="52">
        <v>1</v>
      </c>
      <c r="V75">
        <f t="shared" si="4"/>
        <v>673.38693009000042</v>
      </c>
    </row>
    <row r="76" spans="2:25">
      <c r="B76">
        <v>17</v>
      </c>
      <c r="C76" s="52">
        <v>1</v>
      </c>
      <c r="D76">
        <v>377.40600000000001</v>
      </c>
      <c r="G76">
        <v>377.40600000000001</v>
      </c>
      <c r="H76">
        <v>1</v>
      </c>
      <c r="I76" s="52">
        <v>1</v>
      </c>
      <c r="J76">
        <f t="shared" si="3"/>
        <v>1612.1590128899959</v>
      </c>
      <c r="S76">
        <v>377.40600000000001</v>
      </c>
      <c r="T76">
        <v>0</v>
      </c>
      <c r="U76" s="52">
        <v>1</v>
      </c>
      <c r="V76">
        <f t="shared" si="4"/>
        <v>1612.1590128900004</v>
      </c>
    </row>
    <row r="77" spans="2:25">
      <c r="B77">
        <v>14</v>
      </c>
      <c r="C77" s="52">
        <v>1</v>
      </c>
      <c r="D77">
        <v>368.87400000000002</v>
      </c>
      <c r="G77">
        <v>368.87400000000002</v>
      </c>
      <c r="H77">
        <v>1</v>
      </c>
      <c r="I77" s="52">
        <v>1</v>
      </c>
      <c r="J77">
        <f t="shared" si="3"/>
        <v>999.8054280899978</v>
      </c>
      <c r="S77">
        <v>368.87400000000002</v>
      </c>
      <c r="T77">
        <v>0</v>
      </c>
      <c r="U77" s="52">
        <v>1</v>
      </c>
      <c r="V77">
        <f t="shared" si="4"/>
        <v>999.80542809000144</v>
      </c>
    </row>
    <row r="78" spans="2:25">
      <c r="B78">
        <v>12</v>
      </c>
      <c r="C78" s="52">
        <v>1</v>
      </c>
      <c r="D78">
        <v>401.274</v>
      </c>
      <c r="G78">
        <v>401.274</v>
      </c>
      <c r="H78">
        <v>1</v>
      </c>
      <c r="I78" s="52">
        <v>1</v>
      </c>
      <c r="J78">
        <f t="shared" si="3"/>
        <v>4098.5219880899931</v>
      </c>
      <c r="S78">
        <v>401.274</v>
      </c>
      <c r="T78">
        <v>0</v>
      </c>
      <c r="U78" s="52">
        <v>1</v>
      </c>
      <c r="V78">
        <f t="shared" si="4"/>
        <v>4098.5219880900004</v>
      </c>
    </row>
    <row r="79" spans="2:25">
      <c r="B79">
        <v>22</v>
      </c>
      <c r="C79" s="52">
        <v>1</v>
      </c>
      <c r="D79">
        <v>428.32799999999997</v>
      </c>
      <c r="G79">
        <v>428.32799999999997</v>
      </c>
      <c r="H79">
        <v>1</v>
      </c>
      <c r="I79" s="52">
        <v>1</v>
      </c>
      <c r="J79">
        <f t="shared" si="3"/>
        <v>8294.4188316899854</v>
      </c>
      <c r="S79">
        <v>428.32799999999997</v>
      </c>
      <c r="T79">
        <v>0</v>
      </c>
      <c r="U79" s="52">
        <v>1</v>
      </c>
      <c r="V79">
        <f t="shared" si="4"/>
        <v>8294.4188316899945</v>
      </c>
    </row>
    <row r="80" spans="2:25">
      <c r="B80">
        <v>8</v>
      </c>
      <c r="C80" s="52">
        <v>1</v>
      </c>
      <c r="D80">
        <v>354.94200000000001</v>
      </c>
      <c r="G80">
        <v>354.94200000000001</v>
      </c>
      <c r="H80">
        <v>1</v>
      </c>
      <c r="I80" s="52">
        <v>1</v>
      </c>
      <c r="J80">
        <f t="shared" si="3"/>
        <v>312.8547312899982</v>
      </c>
      <c r="S80">
        <v>354.94200000000001</v>
      </c>
      <c r="T80">
        <v>0</v>
      </c>
      <c r="U80" s="52">
        <v>1</v>
      </c>
      <c r="V80">
        <f t="shared" si="4"/>
        <v>312.85473129000025</v>
      </c>
    </row>
    <row r="81" spans="2:22">
      <c r="B81">
        <v>21</v>
      </c>
      <c r="C81" s="52">
        <v>1</v>
      </c>
      <c r="D81">
        <v>427.19399999999905</v>
      </c>
      <c r="G81">
        <v>427.19399999999905</v>
      </c>
      <c r="H81">
        <v>1</v>
      </c>
      <c r="I81" s="52">
        <v>1</v>
      </c>
      <c r="J81">
        <f t="shared" si="3"/>
        <v>8089.1496360898191</v>
      </c>
      <c r="S81">
        <v>427.19399999999905</v>
      </c>
      <c r="T81">
        <v>0</v>
      </c>
      <c r="U81" s="52">
        <v>1</v>
      </c>
      <c r="V81">
        <f t="shared" si="4"/>
        <v>8089.1496360898291</v>
      </c>
    </row>
    <row r="82" spans="2:22">
      <c r="B82">
        <v>14</v>
      </c>
      <c r="C82" s="52">
        <v>1</v>
      </c>
      <c r="D82">
        <v>318.38400000000001</v>
      </c>
      <c r="G82">
        <v>318.38400000000001</v>
      </c>
      <c r="H82">
        <v>1</v>
      </c>
      <c r="I82" s="52">
        <v>1</v>
      </c>
      <c r="J82">
        <f t="shared" si="3"/>
        <v>356.08822209000164</v>
      </c>
      <c r="S82">
        <v>318.38400000000001</v>
      </c>
      <c r="T82">
        <v>0</v>
      </c>
      <c r="U82" s="52">
        <v>1</v>
      </c>
      <c r="V82">
        <f t="shared" si="4"/>
        <v>356.08822208999948</v>
      </c>
    </row>
    <row r="83" spans="2:22">
      <c r="B83">
        <v>2</v>
      </c>
      <c r="C83" s="52">
        <v>1</v>
      </c>
      <c r="D83">
        <v>242.244</v>
      </c>
      <c r="G83">
        <v>242.244</v>
      </c>
      <c r="H83">
        <v>1</v>
      </c>
      <c r="I83" s="52">
        <v>1</v>
      </c>
      <c r="J83">
        <f t="shared" si="3"/>
        <v>9026.9571060900053</v>
      </c>
      <c r="S83">
        <v>242.244</v>
      </c>
      <c r="T83">
        <v>0</v>
      </c>
      <c r="U83" s="52">
        <v>1</v>
      </c>
      <c r="V83">
        <f t="shared" si="4"/>
        <v>9026.9571060899998</v>
      </c>
    </row>
    <row r="84" spans="2:22">
      <c r="B84">
        <v>8</v>
      </c>
      <c r="C84" s="52">
        <v>1</v>
      </c>
      <c r="D84">
        <v>293.22000000000003</v>
      </c>
      <c r="G84">
        <v>293.22000000000003</v>
      </c>
      <c r="H84">
        <v>1</v>
      </c>
      <c r="I84" s="52">
        <v>1</v>
      </c>
      <c r="J84">
        <f t="shared" si="3"/>
        <v>1939.0195764900027</v>
      </c>
      <c r="S84">
        <v>293.22000000000003</v>
      </c>
      <c r="T84">
        <v>0</v>
      </c>
      <c r="U84" s="52">
        <v>1</v>
      </c>
      <c r="V84">
        <f t="shared" si="4"/>
        <v>1939.0195764899977</v>
      </c>
    </row>
    <row r="85" spans="2:22">
      <c r="B85">
        <v>4</v>
      </c>
      <c r="C85" s="52">
        <v>1</v>
      </c>
      <c r="D85">
        <v>254.232</v>
      </c>
      <c r="G85">
        <v>254.232</v>
      </c>
      <c r="H85">
        <v>1</v>
      </c>
      <c r="I85" s="52">
        <v>1</v>
      </c>
      <c r="J85">
        <f t="shared" si="3"/>
        <v>6892.702297290014</v>
      </c>
      <c r="S85">
        <v>254.232</v>
      </c>
      <c r="T85">
        <v>0</v>
      </c>
      <c r="U85" s="52">
        <v>1</v>
      </c>
      <c r="V85">
        <f t="shared" si="4"/>
        <v>6892.7022972900004</v>
      </c>
    </row>
    <row r="86" spans="2:22">
      <c r="B86">
        <v>11</v>
      </c>
      <c r="C86" s="52">
        <v>1</v>
      </c>
      <c r="D86">
        <v>306.72000000000003</v>
      </c>
      <c r="G86">
        <v>306.72000000000003</v>
      </c>
      <c r="H86">
        <v>1</v>
      </c>
      <c r="I86" s="52">
        <v>1</v>
      </c>
      <c r="J86">
        <f t="shared" si="3"/>
        <v>932.34347649000188</v>
      </c>
      <c r="S86">
        <v>306.72000000000003</v>
      </c>
      <c r="T86">
        <v>0</v>
      </c>
      <c r="U86" s="52">
        <v>1</v>
      </c>
      <c r="V86">
        <f t="shared" si="4"/>
        <v>932.34347648999835</v>
      </c>
    </row>
    <row r="87" spans="2:22">
      <c r="B87">
        <v>10</v>
      </c>
      <c r="C87" s="52">
        <v>1</v>
      </c>
      <c r="D87">
        <v>348.35399999999998</v>
      </c>
      <c r="G87">
        <v>348.35399999999998</v>
      </c>
      <c r="H87">
        <v>1</v>
      </c>
      <c r="I87" s="52">
        <v>1</v>
      </c>
      <c r="J87">
        <f t="shared" si="3"/>
        <v>123.20334008999839</v>
      </c>
      <c r="S87">
        <v>348.35399999999998</v>
      </c>
      <c r="T87">
        <v>0</v>
      </c>
      <c r="U87" s="52">
        <v>1</v>
      </c>
      <c r="V87">
        <f t="shared" si="4"/>
        <v>123.20334008999966</v>
      </c>
    </row>
    <row r="88" spans="2:22">
      <c r="B88">
        <v>18</v>
      </c>
      <c r="C88" s="52">
        <v>1</v>
      </c>
      <c r="D88">
        <v>402.94799999999998</v>
      </c>
      <c r="G88">
        <v>402.94799999999998</v>
      </c>
      <c r="H88">
        <v>1</v>
      </c>
      <c r="I88" s="52">
        <v>1</v>
      </c>
      <c r="J88">
        <f t="shared" si="3"/>
        <v>4315.6622196899898</v>
      </c>
      <c r="S88">
        <v>402.94799999999998</v>
      </c>
      <c r="T88">
        <v>0</v>
      </c>
      <c r="U88" s="52">
        <v>1</v>
      </c>
      <c r="V88">
        <f t="shared" si="4"/>
        <v>4315.6622196899971</v>
      </c>
    </row>
    <row r="89" spans="2:22">
      <c r="B89">
        <v>25</v>
      </c>
      <c r="C89" s="52">
        <v>1</v>
      </c>
      <c r="D89">
        <v>424.44</v>
      </c>
      <c r="G89">
        <v>424.44</v>
      </c>
      <c r="H89">
        <v>1</v>
      </c>
      <c r="I89" s="52">
        <v>1</v>
      </c>
      <c r="J89">
        <f t="shared" si="3"/>
        <v>7601.3462844899896</v>
      </c>
      <c r="S89">
        <v>424.44</v>
      </c>
      <c r="T89">
        <v>0</v>
      </c>
      <c r="U89" s="52">
        <v>1</v>
      </c>
      <c r="V89">
        <f t="shared" si="4"/>
        <v>7601.3462844899996</v>
      </c>
    </row>
    <row r="90" spans="2:22">
      <c r="B90">
        <v>11</v>
      </c>
      <c r="C90" s="52">
        <v>1</v>
      </c>
      <c r="D90">
        <v>321.57</v>
      </c>
      <c r="G90">
        <v>321.57</v>
      </c>
      <c r="H90">
        <v>1</v>
      </c>
      <c r="I90" s="52">
        <v>1</v>
      </c>
      <c r="J90">
        <f t="shared" si="3"/>
        <v>245.997266490002</v>
      </c>
      <c r="S90">
        <v>321.57</v>
      </c>
      <c r="T90">
        <v>0</v>
      </c>
      <c r="U90" s="52">
        <v>1</v>
      </c>
      <c r="V90">
        <f t="shared" si="4"/>
        <v>245.99726649000024</v>
      </c>
    </row>
    <row r="91" spans="2:22">
      <c r="B91">
        <v>17</v>
      </c>
      <c r="C91" s="52">
        <v>1</v>
      </c>
      <c r="D91">
        <v>374.976</v>
      </c>
      <c r="G91">
        <v>374.976</v>
      </c>
      <c r="H91">
        <v>1</v>
      </c>
      <c r="I91" s="52">
        <v>1</v>
      </c>
      <c r="J91">
        <f t="shared" si="3"/>
        <v>1422.9266508899957</v>
      </c>
      <c r="S91">
        <v>374.976</v>
      </c>
      <c r="T91">
        <v>0</v>
      </c>
      <c r="U91" s="52">
        <v>1</v>
      </c>
      <c r="V91">
        <f t="shared" si="4"/>
        <v>1422.9266508899998</v>
      </c>
    </row>
    <row r="92" spans="2:22">
      <c r="B92">
        <v>19</v>
      </c>
      <c r="C92" s="52">
        <v>1</v>
      </c>
      <c r="D92">
        <v>411.69600000000003</v>
      </c>
      <c r="G92">
        <v>411.69600000000003</v>
      </c>
      <c r="H92">
        <v>1</v>
      </c>
      <c r="I92" s="52">
        <v>1</v>
      </c>
      <c r="J92">
        <f t="shared" si="3"/>
        <v>5541.5666988899957</v>
      </c>
      <c r="S92">
        <v>411.69600000000003</v>
      </c>
      <c r="T92">
        <v>0</v>
      </c>
      <c r="U92" s="52">
        <v>1</v>
      </c>
      <c r="V92">
        <f t="shared" si="4"/>
        <v>5541.5666988900039</v>
      </c>
    </row>
    <row r="93" spans="2:22">
      <c r="B93">
        <v>7</v>
      </c>
      <c r="C93" s="52">
        <v>1</v>
      </c>
      <c r="D93">
        <v>261.57600000000002</v>
      </c>
      <c r="G93">
        <v>261.57600000000002</v>
      </c>
      <c r="H93">
        <v>1</v>
      </c>
      <c r="I93" s="52">
        <v>1</v>
      </c>
      <c r="J93">
        <f t="shared" si="3"/>
        <v>5727.2050908900055</v>
      </c>
      <c r="S93">
        <v>261.57600000000002</v>
      </c>
      <c r="T93">
        <v>0</v>
      </c>
      <c r="U93" s="52">
        <v>1</v>
      </c>
      <c r="V93">
        <f t="shared" si="4"/>
        <v>5727.2050908899964</v>
      </c>
    </row>
    <row r="94" spans="2:22">
      <c r="C94" s="36"/>
      <c r="J94" s="53">
        <f>SUM(J4:J93)</f>
        <v>679872.0906712797</v>
      </c>
      <c r="V94" s="53">
        <f>SUM(V4:V93)</f>
        <v>679872.09067127982</v>
      </c>
    </row>
    <row r="95" spans="2:22">
      <c r="C95" s="36"/>
    </row>
    <row r="96" spans="2:22">
      <c r="C96" s="36"/>
    </row>
    <row r="97" spans="3:3">
      <c r="C97" s="36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8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2:D95"/>
  <sheetViews>
    <sheetView workbookViewId="0">
      <selection activeCell="B5" sqref="B5:D95"/>
    </sheetView>
  </sheetViews>
  <sheetFormatPr defaultRowHeight="15"/>
  <sheetData>
    <row r="2" spans="2:4">
      <c r="B2" t="s">
        <v>130</v>
      </c>
    </row>
    <row r="5" spans="2:4">
      <c r="B5" s="37" t="s">
        <v>54</v>
      </c>
      <c r="C5" s="37" t="s">
        <v>55</v>
      </c>
      <c r="D5" s="37" t="s">
        <v>56</v>
      </c>
    </row>
    <row r="6" spans="2:4">
      <c r="B6">
        <v>10</v>
      </c>
      <c r="C6">
        <v>1</v>
      </c>
      <c r="D6">
        <v>605.202</v>
      </c>
    </row>
    <row r="7" spans="2:4">
      <c r="B7">
        <v>1</v>
      </c>
      <c r="C7">
        <v>1</v>
      </c>
      <c r="D7">
        <v>398.65800000000002</v>
      </c>
    </row>
    <row r="8" spans="2:4">
      <c r="B8">
        <v>10</v>
      </c>
      <c r="C8">
        <v>1</v>
      </c>
      <c r="D8">
        <v>582.66</v>
      </c>
    </row>
    <row r="9" spans="2:4">
      <c r="B9">
        <v>20</v>
      </c>
      <c r="C9">
        <v>1</v>
      </c>
      <c r="D9">
        <v>689.91</v>
      </c>
    </row>
    <row r="10" spans="2:4">
      <c r="B10">
        <v>17</v>
      </c>
      <c r="C10">
        <v>1</v>
      </c>
      <c r="D10">
        <v>672.82799999999997</v>
      </c>
    </row>
    <row r="11" spans="2:4">
      <c r="B11">
        <v>22</v>
      </c>
      <c r="C11">
        <v>1</v>
      </c>
      <c r="D11">
        <v>673.06200000000001</v>
      </c>
    </row>
    <row r="12" spans="2:4">
      <c r="B12">
        <v>8</v>
      </c>
      <c r="C12">
        <v>1</v>
      </c>
      <c r="D12">
        <v>589.13400000000001</v>
      </c>
    </row>
    <row r="13" spans="2:4">
      <c r="B13">
        <v>19</v>
      </c>
      <c r="C13">
        <v>1</v>
      </c>
      <c r="D13">
        <v>682.73400000000004</v>
      </c>
    </row>
    <row r="14" spans="2:4">
      <c r="B14">
        <v>5</v>
      </c>
      <c r="C14">
        <v>1</v>
      </c>
      <c r="D14">
        <v>416.52</v>
      </c>
    </row>
    <row r="15" spans="2:4">
      <c r="B15">
        <v>5</v>
      </c>
      <c r="C15">
        <v>1</v>
      </c>
      <c r="D15">
        <v>458.40600000000001</v>
      </c>
    </row>
    <row r="16" spans="2:4">
      <c r="B16">
        <v>15</v>
      </c>
      <c r="C16">
        <v>1</v>
      </c>
      <c r="D16">
        <v>540.22799999999995</v>
      </c>
    </row>
    <row r="17" spans="2:4">
      <c r="B17">
        <v>2</v>
      </c>
      <c r="C17">
        <v>1</v>
      </c>
      <c r="D17">
        <v>412.23</v>
      </c>
    </row>
    <row r="18" spans="2:4">
      <c r="B18">
        <v>12</v>
      </c>
      <c r="C18">
        <v>1</v>
      </c>
      <c r="D18">
        <v>635.77800000000002</v>
      </c>
    </row>
    <row r="19" spans="2:4">
      <c r="B19">
        <v>8</v>
      </c>
      <c r="C19">
        <v>1</v>
      </c>
      <c r="D19">
        <v>459.49799999999999</v>
      </c>
    </row>
    <row r="20" spans="2:4">
      <c r="B20">
        <v>20</v>
      </c>
      <c r="C20">
        <v>1</v>
      </c>
      <c r="D20">
        <v>714.32399999999996</v>
      </c>
    </row>
    <row r="21" spans="2:4">
      <c r="B21">
        <v>3</v>
      </c>
      <c r="C21">
        <v>1</v>
      </c>
      <c r="D21">
        <v>417.22199999999998</v>
      </c>
    </row>
    <row r="22" spans="2:4">
      <c r="B22">
        <v>5</v>
      </c>
      <c r="C22">
        <v>1</v>
      </c>
      <c r="D22">
        <v>539.91600000000005</v>
      </c>
    </row>
    <row r="23" spans="2:4">
      <c r="B23">
        <v>11</v>
      </c>
      <c r="C23">
        <v>1</v>
      </c>
      <c r="D23">
        <v>664.95</v>
      </c>
    </row>
    <row r="24" spans="2:4">
      <c r="B24">
        <v>6</v>
      </c>
      <c r="C24">
        <v>1</v>
      </c>
      <c r="D24">
        <v>415.35</v>
      </c>
    </row>
    <row r="25" spans="2:4">
      <c r="B25">
        <v>7</v>
      </c>
      <c r="C25">
        <v>1</v>
      </c>
      <c r="D25">
        <v>548.49599999999998</v>
      </c>
    </row>
    <row r="26" spans="2:4">
      <c r="B26">
        <v>1</v>
      </c>
      <c r="C26">
        <v>1</v>
      </c>
      <c r="D26">
        <v>404.50799999999998</v>
      </c>
    </row>
    <row r="27" spans="2:4">
      <c r="B27">
        <v>7</v>
      </c>
      <c r="C27">
        <v>1</v>
      </c>
      <c r="D27">
        <v>592.72199999999998</v>
      </c>
    </row>
    <row r="28" spans="2:4">
      <c r="B28">
        <v>16</v>
      </c>
      <c r="C28">
        <v>1</v>
      </c>
      <c r="D28">
        <v>708.63</v>
      </c>
    </row>
    <row r="29" spans="2:4">
      <c r="B29">
        <v>6</v>
      </c>
      <c r="C29">
        <v>1</v>
      </c>
      <c r="D29">
        <v>568.15200000000004</v>
      </c>
    </row>
    <row r="30" spans="2:4">
      <c r="B30">
        <v>15</v>
      </c>
      <c r="C30">
        <v>1</v>
      </c>
      <c r="D30">
        <v>649.428</v>
      </c>
    </row>
    <row r="31" spans="2:4">
      <c r="B31">
        <v>8</v>
      </c>
      <c r="C31">
        <v>1</v>
      </c>
      <c r="D31">
        <v>571.35</v>
      </c>
    </row>
    <row r="32" spans="2:4">
      <c r="B32">
        <v>4</v>
      </c>
      <c r="C32">
        <v>1</v>
      </c>
      <c r="D32">
        <v>498.81</v>
      </c>
    </row>
    <row r="33" spans="2:4">
      <c r="B33">
        <v>4</v>
      </c>
      <c r="C33">
        <v>1</v>
      </c>
      <c r="D33">
        <v>448.65600000000001</v>
      </c>
    </row>
    <row r="34" spans="2:4">
      <c r="B34">
        <v>7</v>
      </c>
      <c r="C34">
        <v>1</v>
      </c>
      <c r="D34">
        <v>443.43</v>
      </c>
    </row>
    <row r="35" spans="2:4">
      <c r="B35">
        <v>10</v>
      </c>
      <c r="C35">
        <v>1</v>
      </c>
      <c r="D35">
        <v>607.77599999999995</v>
      </c>
    </row>
    <row r="36" spans="2:4">
      <c r="B36">
        <v>3</v>
      </c>
      <c r="C36">
        <v>1</v>
      </c>
      <c r="D36">
        <v>398.73599999999999</v>
      </c>
    </row>
    <row r="37" spans="2:4">
      <c r="B37">
        <v>4</v>
      </c>
      <c r="C37">
        <v>1</v>
      </c>
      <c r="D37">
        <v>422.76</v>
      </c>
    </row>
    <row r="38" spans="2:4">
      <c r="B38">
        <v>3</v>
      </c>
      <c r="C38">
        <v>1</v>
      </c>
      <c r="D38">
        <v>398.19</v>
      </c>
    </row>
    <row r="39" spans="2:4">
      <c r="B39">
        <v>22</v>
      </c>
      <c r="C39">
        <v>1</v>
      </c>
      <c r="D39">
        <v>703.56</v>
      </c>
    </row>
    <row r="40" spans="2:4">
      <c r="B40">
        <v>17</v>
      </c>
      <c r="C40">
        <v>1</v>
      </c>
      <c r="D40">
        <v>602.31600000000003</v>
      </c>
    </row>
    <row r="41" spans="2:4">
      <c r="B41">
        <v>11</v>
      </c>
      <c r="C41">
        <v>1</v>
      </c>
      <c r="D41">
        <v>502.55399999999997</v>
      </c>
    </row>
    <row r="42" spans="2:4">
      <c r="B42">
        <v>15</v>
      </c>
      <c r="C42">
        <v>1</v>
      </c>
      <c r="D42">
        <v>608.16600000000005</v>
      </c>
    </row>
    <row r="43" spans="2:4">
      <c r="B43">
        <v>6</v>
      </c>
      <c r="C43">
        <v>1</v>
      </c>
      <c r="D43">
        <v>410.59199999999998</v>
      </c>
    </row>
    <row r="44" spans="2:4">
      <c r="B44">
        <v>10</v>
      </c>
      <c r="C44">
        <v>1</v>
      </c>
      <c r="D44">
        <v>577.59</v>
      </c>
    </row>
    <row r="45" spans="2:4">
      <c r="B45">
        <v>13</v>
      </c>
      <c r="C45">
        <v>1</v>
      </c>
      <c r="D45">
        <v>620.95799999999997</v>
      </c>
    </row>
    <row r="46" spans="2:4">
      <c r="B46">
        <v>9</v>
      </c>
      <c r="C46">
        <v>1</v>
      </c>
      <c r="D46">
        <v>530.63400000000001</v>
      </c>
    </row>
    <row r="47" spans="2:4">
      <c r="B47">
        <v>24</v>
      </c>
      <c r="C47">
        <v>1</v>
      </c>
      <c r="D47">
        <v>671.346</v>
      </c>
    </row>
    <row r="48" spans="2:4">
      <c r="B48">
        <v>21</v>
      </c>
      <c r="C48">
        <v>1</v>
      </c>
      <c r="D48">
        <v>731.56200000000001</v>
      </c>
    </row>
    <row r="49" spans="2:4">
      <c r="B49">
        <v>5</v>
      </c>
      <c r="C49">
        <v>1</v>
      </c>
      <c r="D49">
        <v>521.03999999999905</v>
      </c>
    </row>
    <row r="50" spans="2:4">
      <c r="B50">
        <v>10</v>
      </c>
      <c r="C50">
        <v>1</v>
      </c>
      <c r="D50">
        <v>558.09</v>
      </c>
    </row>
    <row r="51" spans="2:4">
      <c r="B51">
        <v>6</v>
      </c>
      <c r="C51">
        <v>1</v>
      </c>
      <c r="D51">
        <v>449.98200000000003</v>
      </c>
    </row>
    <row r="52" spans="2:4">
      <c r="B52">
        <v>7</v>
      </c>
      <c r="C52">
        <v>1</v>
      </c>
      <c r="D52">
        <v>525.72</v>
      </c>
    </row>
    <row r="53" spans="2:4">
      <c r="B53">
        <v>15</v>
      </c>
      <c r="C53">
        <v>1</v>
      </c>
      <c r="D53">
        <v>671.11199999999997</v>
      </c>
    </row>
    <row r="54" spans="2:4">
      <c r="B54">
        <v>3</v>
      </c>
      <c r="C54">
        <v>1</v>
      </c>
      <c r="D54">
        <v>427.90800000000002</v>
      </c>
    </row>
    <row r="55" spans="2:4">
      <c r="B55">
        <v>14</v>
      </c>
      <c r="C55">
        <v>1</v>
      </c>
      <c r="D55">
        <v>592.33199999999999</v>
      </c>
    </row>
    <row r="56" spans="2:4">
      <c r="B56">
        <v>15</v>
      </c>
      <c r="C56">
        <v>0</v>
      </c>
      <c r="D56">
        <v>349.38</v>
      </c>
    </row>
    <row r="57" spans="2:4">
      <c r="B57">
        <v>1</v>
      </c>
      <c r="C57">
        <v>0</v>
      </c>
      <c r="D57">
        <v>218.05199999999999</v>
      </c>
    </row>
    <row r="58" spans="2:4">
      <c r="B58">
        <v>12</v>
      </c>
      <c r="C58">
        <v>0</v>
      </c>
      <c r="D58">
        <v>387.39600000000002</v>
      </c>
    </row>
    <row r="59" spans="2:4">
      <c r="B59">
        <v>9</v>
      </c>
      <c r="C59">
        <v>0</v>
      </c>
      <c r="D59">
        <v>346.35599999999999</v>
      </c>
    </row>
    <row r="60" spans="2:4">
      <c r="B60">
        <v>5</v>
      </c>
      <c r="C60">
        <v>0</v>
      </c>
      <c r="D60">
        <v>256.01400000000001</v>
      </c>
    </row>
    <row r="61" spans="2:4">
      <c r="B61">
        <v>3</v>
      </c>
      <c r="C61">
        <v>0</v>
      </c>
      <c r="D61">
        <v>251.04599999999999</v>
      </c>
    </row>
    <row r="62" spans="2:4">
      <c r="B62">
        <v>7</v>
      </c>
      <c r="C62">
        <v>0</v>
      </c>
      <c r="D62">
        <v>273.34800000000001</v>
      </c>
    </row>
    <row r="63" spans="2:4">
      <c r="B63">
        <v>17</v>
      </c>
      <c r="C63">
        <v>0</v>
      </c>
      <c r="D63">
        <v>397.71</v>
      </c>
    </row>
    <row r="64" spans="2:4">
      <c r="B64">
        <v>19</v>
      </c>
      <c r="C64">
        <v>0</v>
      </c>
      <c r="D64">
        <v>392.202</v>
      </c>
    </row>
    <row r="65" spans="2:4">
      <c r="B65">
        <v>15</v>
      </c>
      <c r="C65">
        <v>0</v>
      </c>
      <c r="D65">
        <v>394.25400000000002</v>
      </c>
    </row>
    <row r="66" spans="2:4">
      <c r="B66">
        <v>6</v>
      </c>
      <c r="C66">
        <v>0</v>
      </c>
      <c r="D66">
        <v>285.17399999999998</v>
      </c>
    </row>
    <row r="67" spans="2:4">
      <c r="B67">
        <v>3</v>
      </c>
      <c r="C67">
        <v>0</v>
      </c>
      <c r="D67">
        <v>244.566</v>
      </c>
    </row>
    <row r="68" spans="2:4">
      <c r="B68">
        <v>17</v>
      </c>
      <c r="C68">
        <v>0</v>
      </c>
      <c r="D68">
        <v>387.61200000000002</v>
      </c>
    </row>
    <row r="69" spans="2:4">
      <c r="B69">
        <v>4</v>
      </c>
      <c r="C69">
        <v>0</v>
      </c>
      <c r="D69">
        <v>253.31399999999999</v>
      </c>
    </row>
    <row r="70" spans="2:4">
      <c r="B70">
        <v>10</v>
      </c>
      <c r="C70">
        <v>0</v>
      </c>
      <c r="D70">
        <v>333.61200000000002</v>
      </c>
    </row>
    <row r="71" spans="2:4">
      <c r="B71">
        <v>4</v>
      </c>
      <c r="C71">
        <v>0</v>
      </c>
      <c r="D71">
        <v>292.95</v>
      </c>
    </row>
    <row r="72" spans="2:4">
      <c r="B72">
        <v>11</v>
      </c>
      <c r="C72">
        <v>0</v>
      </c>
      <c r="D72">
        <v>374.92200000000003</v>
      </c>
    </row>
    <row r="73" spans="2:4">
      <c r="B73">
        <v>10</v>
      </c>
      <c r="C73">
        <v>0</v>
      </c>
      <c r="D73">
        <v>387.45</v>
      </c>
    </row>
    <row r="74" spans="2:4">
      <c r="B74">
        <v>7</v>
      </c>
      <c r="C74">
        <v>0</v>
      </c>
      <c r="D74">
        <v>307.52999999999997</v>
      </c>
    </row>
    <row r="75" spans="2:4">
      <c r="B75">
        <v>3</v>
      </c>
      <c r="C75">
        <v>0</v>
      </c>
      <c r="D75">
        <v>268.97399999999999</v>
      </c>
    </row>
    <row r="76" spans="2:4">
      <c r="B76">
        <v>20</v>
      </c>
      <c r="C76">
        <v>0</v>
      </c>
      <c r="D76">
        <v>406.72799999999904</v>
      </c>
    </row>
    <row r="77" spans="2:4">
      <c r="B77">
        <v>16</v>
      </c>
      <c r="C77">
        <v>0</v>
      </c>
      <c r="D77">
        <v>363.20400000000001</v>
      </c>
    </row>
    <row r="78" spans="2:4">
      <c r="B78">
        <v>17</v>
      </c>
      <c r="C78">
        <v>0</v>
      </c>
      <c r="D78">
        <v>377.40600000000001</v>
      </c>
    </row>
    <row r="79" spans="2:4">
      <c r="B79">
        <v>14</v>
      </c>
      <c r="C79">
        <v>0</v>
      </c>
      <c r="D79">
        <v>368.87400000000002</v>
      </c>
    </row>
    <row r="80" spans="2:4">
      <c r="B80">
        <v>12</v>
      </c>
      <c r="C80">
        <v>0</v>
      </c>
      <c r="D80">
        <v>401.274</v>
      </c>
    </row>
    <row r="81" spans="2:4">
      <c r="B81">
        <v>22</v>
      </c>
      <c r="C81">
        <v>0</v>
      </c>
      <c r="D81">
        <v>428.32799999999997</v>
      </c>
    </row>
    <row r="82" spans="2:4">
      <c r="B82">
        <v>8</v>
      </c>
      <c r="C82">
        <v>0</v>
      </c>
      <c r="D82">
        <v>354.94200000000001</v>
      </c>
    </row>
    <row r="83" spans="2:4">
      <c r="B83">
        <v>21</v>
      </c>
      <c r="C83">
        <v>0</v>
      </c>
      <c r="D83">
        <v>427.19399999999905</v>
      </c>
    </row>
    <row r="84" spans="2:4">
      <c r="B84">
        <v>14</v>
      </c>
      <c r="C84">
        <v>0</v>
      </c>
      <c r="D84">
        <v>318.38400000000001</v>
      </c>
    </row>
    <row r="85" spans="2:4">
      <c r="B85">
        <v>2</v>
      </c>
      <c r="C85">
        <v>0</v>
      </c>
      <c r="D85">
        <v>242.244</v>
      </c>
    </row>
    <row r="86" spans="2:4">
      <c r="B86">
        <v>8</v>
      </c>
      <c r="C86">
        <v>0</v>
      </c>
      <c r="D86">
        <v>293.22000000000003</v>
      </c>
    </row>
    <row r="87" spans="2:4">
      <c r="B87">
        <v>4</v>
      </c>
      <c r="C87">
        <v>0</v>
      </c>
      <c r="D87">
        <v>254.232</v>
      </c>
    </row>
    <row r="88" spans="2:4">
      <c r="B88">
        <v>11</v>
      </c>
      <c r="C88">
        <v>0</v>
      </c>
      <c r="D88">
        <v>306.72000000000003</v>
      </c>
    </row>
    <row r="89" spans="2:4">
      <c r="B89">
        <v>10</v>
      </c>
      <c r="C89">
        <v>0</v>
      </c>
      <c r="D89">
        <v>348.35399999999998</v>
      </c>
    </row>
    <row r="90" spans="2:4">
      <c r="B90">
        <v>18</v>
      </c>
      <c r="C90">
        <v>0</v>
      </c>
      <c r="D90">
        <v>402.94799999999998</v>
      </c>
    </row>
    <row r="91" spans="2:4">
      <c r="B91">
        <v>25</v>
      </c>
      <c r="C91">
        <v>0</v>
      </c>
      <c r="D91">
        <v>424.44</v>
      </c>
    </row>
    <row r="92" spans="2:4">
      <c r="B92">
        <v>11</v>
      </c>
      <c r="C92">
        <v>0</v>
      </c>
      <c r="D92">
        <v>321.57</v>
      </c>
    </row>
    <row r="93" spans="2:4">
      <c r="B93">
        <v>17</v>
      </c>
      <c r="C93">
        <v>0</v>
      </c>
      <c r="D93">
        <v>374.976</v>
      </c>
    </row>
    <row r="94" spans="2:4">
      <c r="B94">
        <v>19</v>
      </c>
      <c r="C94">
        <v>0</v>
      </c>
      <c r="D94">
        <v>411.69600000000003</v>
      </c>
    </row>
    <row r="95" spans="2:4">
      <c r="B95">
        <v>7</v>
      </c>
      <c r="C95">
        <v>0</v>
      </c>
      <c r="D95">
        <v>261.57600000000002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D4:AV95"/>
  <sheetViews>
    <sheetView workbookViewId="0">
      <selection activeCell="AP67" sqref="AP67:AP72"/>
    </sheetView>
  </sheetViews>
  <sheetFormatPr defaultRowHeight="15"/>
  <cols>
    <col min="22" max="22" width="12.28515625" bestFit="1" customWidth="1"/>
    <col min="39" max="39" width="12.28515625" bestFit="1" customWidth="1"/>
    <col min="40" max="40" width="10" bestFit="1" customWidth="1"/>
  </cols>
  <sheetData>
    <row r="4" spans="4:40" ht="17.25">
      <c r="D4" s="37" t="s">
        <v>56</v>
      </c>
      <c r="E4" s="37" t="s">
        <v>92</v>
      </c>
      <c r="F4" s="37" t="s">
        <v>54</v>
      </c>
      <c r="G4" s="37" t="s">
        <v>55</v>
      </c>
      <c r="H4" s="37" t="s">
        <v>115</v>
      </c>
      <c r="I4" s="37"/>
      <c r="S4" s="54" t="s">
        <v>56</v>
      </c>
      <c r="T4" s="54" t="s">
        <v>92</v>
      </c>
      <c r="U4" s="54" t="s">
        <v>54</v>
      </c>
      <c r="V4" s="54" t="s">
        <v>131</v>
      </c>
      <c r="W4" s="54" t="s">
        <v>115</v>
      </c>
      <c r="AI4" s="54" t="s">
        <v>56</v>
      </c>
      <c r="AJ4" s="54" t="s">
        <v>92</v>
      </c>
      <c r="AK4" s="54" t="s">
        <v>54</v>
      </c>
      <c r="AL4" s="54" t="s">
        <v>127</v>
      </c>
      <c r="AM4" s="54" t="s">
        <v>131</v>
      </c>
      <c r="AN4" s="54" t="s">
        <v>115</v>
      </c>
    </row>
    <row r="5" spans="4:40">
      <c r="D5">
        <v>605.202</v>
      </c>
      <c r="E5">
        <v>1</v>
      </c>
      <c r="F5">
        <v>10</v>
      </c>
      <c r="G5">
        <v>1</v>
      </c>
      <c r="H5">
        <f>(D5-K$54-K$55*F5-K$56*G5)^2</f>
        <v>3022.0103749157879</v>
      </c>
      <c r="S5">
        <f>D5</f>
        <v>605.202</v>
      </c>
      <c r="T5">
        <v>1</v>
      </c>
      <c r="U5">
        <f>F5</f>
        <v>10</v>
      </c>
      <c r="V5">
        <f>F5*G5</f>
        <v>10</v>
      </c>
      <c r="W5">
        <f>(S5-Z$54-Z$55*U5-Z$56*V5)^2</f>
        <v>5437.6108234115527</v>
      </c>
      <c r="AI5">
        <f>S5</f>
        <v>605.202</v>
      </c>
      <c r="AJ5">
        <v>1</v>
      </c>
      <c r="AK5">
        <f>U5</f>
        <v>10</v>
      </c>
      <c r="AL5">
        <f>G5</f>
        <v>1</v>
      </c>
      <c r="AM5">
        <f>AK5*AL5</f>
        <v>10</v>
      </c>
      <c r="AN5">
        <f>(AI5-AQ$55-AQ$56*AK5-AQ$57*AL5-AQ$58*AM5)^2</f>
        <v>3033.3412414759937</v>
      </c>
    </row>
    <row r="6" spans="4:40">
      <c r="D6">
        <v>398.65800000000002</v>
      </c>
      <c r="E6">
        <v>1</v>
      </c>
      <c r="F6">
        <v>1</v>
      </c>
      <c r="G6">
        <v>1</v>
      </c>
      <c r="H6">
        <f t="shared" ref="H6:H69" si="0">(D6-K$54-K$55*F6-K$56*G6)^2</f>
        <v>1799.1033981287176</v>
      </c>
      <c r="S6">
        <f t="shared" ref="S6:S69" si="1">D6</f>
        <v>398.65800000000002</v>
      </c>
      <c r="T6">
        <v>1</v>
      </c>
      <c r="U6">
        <f t="shared" ref="U6:U69" si="2">F6</f>
        <v>1</v>
      </c>
      <c r="V6">
        <f t="shared" ref="V6:V69" si="3">F6*G6</f>
        <v>1</v>
      </c>
      <c r="W6">
        <f t="shared" ref="W6:W69" si="4">(S6-Z$54-Z$55*U6-Z$56*V6)^2</f>
        <v>1898.8103505717831</v>
      </c>
      <c r="AI6">
        <f t="shared" ref="AI6:AI69" si="5">S6</f>
        <v>398.65800000000002</v>
      </c>
      <c r="AJ6">
        <v>1</v>
      </c>
      <c r="AK6">
        <f t="shared" ref="AK6:AK69" si="6">U6</f>
        <v>1</v>
      </c>
      <c r="AL6">
        <f t="shared" ref="AL6:AL69" si="7">G6</f>
        <v>1</v>
      </c>
      <c r="AM6">
        <f t="shared" ref="AM6:AM69" si="8">AK6*AL6</f>
        <v>1</v>
      </c>
      <c r="AN6">
        <f t="shared" ref="AN6:AN69" si="9">(AI6-AQ$55-AQ$56*AK6-AQ$57*AL6-AQ$58*AM6)^2</f>
        <v>366.58225264431934</v>
      </c>
    </row>
    <row r="7" spans="4:40">
      <c r="D7">
        <v>582.66</v>
      </c>
      <c r="E7">
        <v>1</v>
      </c>
      <c r="F7">
        <v>10</v>
      </c>
      <c r="G7">
        <v>1</v>
      </c>
      <c r="H7">
        <f t="shared" si="0"/>
        <v>1051.7577532410526</v>
      </c>
      <c r="S7">
        <f t="shared" si="1"/>
        <v>582.66</v>
      </c>
      <c r="T7">
        <v>1</v>
      </c>
      <c r="U7">
        <f t="shared" si="2"/>
        <v>10</v>
      </c>
      <c r="V7">
        <f t="shared" si="3"/>
        <v>10</v>
      </c>
      <c r="W7">
        <f t="shared" si="4"/>
        <v>2621.2513281223678</v>
      </c>
      <c r="AI7">
        <f t="shared" si="5"/>
        <v>582.66</v>
      </c>
      <c r="AJ7">
        <v>1</v>
      </c>
      <c r="AK7">
        <f t="shared" si="6"/>
        <v>10</v>
      </c>
      <c r="AL7">
        <f t="shared" si="7"/>
        <v>1</v>
      </c>
      <c r="AM7">
        <f t="shared" si="8"/>
        <v>10</v>
      </c>
      <c r="AN7">
        <f t="shared" si="9"/>
        <v>1058.4466632066633</v>
      </c>
    </row>
    <row r="8" spans="4:40">
      <c r="D8">
        <v>689.91</v>
      </c>
      <c r="E8">
        <v>1</v>
      </c>
      <c r="F8">
        <v>20</v>
      </c>
      <c r="G8">
        <v>1</v>
      </c>
      <c r="H8">
        <f t="shared" si="0"/>
        <v>338.45317626268792</v>
      </c>
      <c r="S8">
        <f t="shared" si="1"/>
        <v>689.91</v>
      </c>
      <c r="T8">
        <v>1</v>
      </c>
      <c r="U8">
        <f t="shared" si="2"/>
        <v>20</v>
      </c>
      <c r="V8">
        <f t="shared" si="3"/>
        <v>20</v>
      </c>
      <c r="W8">
        <f t="shared" si="4"/>
        <v>1408.4043156610585</v>
      </c>
      <c r="AI8">
        <f t="shared" si="5"/>
        <v>689.91</v>
      </c>
      <c r="AJ8">
        <v>1</v>
      </c>
      <c r="AK8">
        <f t="shared" si="6"/>
        <v>20</v>
      </c>
      <c r="AL8">
        <f t="shared" si="7"/>
        <v>1</v>
      </c>
      <c r="AM8">
        <f t="shared" si="8"/>
        <v>20</v>
      </c>
      <c r="AN8">
        <f t="shared" si="9"/>
        <v>52.425409117392881</v>
      </c>
    </row>
    <row r="9" spans="4:40">
      <c r="D9">
        <v>672.82799999999997</v>
      </c>
      <c r="E9">
        <v>1</v>
      </c>
      <c r="F9">
        <v>17</v>
      </c>
      <c r="G9">
        <v>1</v>
      </c>
      <c r="H9">
        <f t="shared" si="0"/>
        <v>1421.306009571013</v>
      </c>
      <c r="S9">
        <f t="shared" si="1"/>
        <v>672.82799999999997</v>
      </c>
      <c r="T9">
        <v>1</v>
      </c>
      <c r="U9">
        <f t="shared" si="2"/>
        <v>17</v>
      </c>
      <c r="V9">
        <f t="shared" si="3"/>
        <v>17</v>
      </c>
      <c r="W9">
        <f t="shared" si="4"/>
        <v>17.492034701911059</v>
      </c>
      <c r="AI9">
        <f t="shared" si="5"/>
        <v>672.82799999999997</v>
      </c>
      <c r="AJ9">
        <v>1</v>
      </c>
      <c r="AK9">
        <f t="shared" si="6"/>
        <v>17</v>
      </c>
      <c r="AL9">
        <f t="shared" si="7"/>
        <v>1</v>
      </c>
      <c r="AM9">
        <f t="shared" si="8"/>
        <v>17</v>
      </c>
      <c r="AN9">
        <f t="shared" si="9"/>
        <v>391.43655737023505</v>
      </c>
    </row>
    <row r="10" spans="4:40">
      <c r="D10">
        <v>673.06200000000001</v>
      </c>
      <c r="E10">
        <v>1</v>
      </c>
      <c r="F10">
        <v>22</v>
      </c>
      <c r="G10">
        <v>1</v>
      </c>
      <c r="H10">
        <f t="shared" si="0"/>
        <v>515.63721555877942</v>
      </c>
      <c r="S10">
        <f t="shared" si="1"/>
        <v>673.06200000000001</v>
      </c>
      <c r="T10">
        <v>1</v>
      </c>
      <c r="U10">
        <f t="shared" si="2"/>
        <v>22</v>
      </c>
      <c r="V10">
        <f t="shared" si="3"/>
        <v>22</v>
      </c>
      <c r="W10">
        <f t="shared" si="4"/>
        <v>8755.7355315983405</v>
      </c>
      <c r="AI10">
        <f t="shared" si="5"/>
        <v>673.06200000000001</v>
      </c>
      <c r="AJ10">
        <v>1</v>
      </c>
      <c r="AK10">
        <f t="shared" si="6"/>
        <v>22</v>
      </c>
      <c r="AL10">
        <f t="shared" si="7"/>
        <v>1</v>
      </c>
      <c r="AM10">
        <f t="shared" si="8"/>
        <v>22</v>
      </c>
      <c r="AN10">
        <f t="shared" si="9"/>
        <v>2861.5441210370086</v>
      </c>
    </row>
    <row r="11" spans="4:40">
      <c r="D11">
        <v>589.13400000000001</v>
      </c>
      <c r="E11">
        <v>1</v>
      </c>
      <c r="F11">
        <v>8</v>
      </c>
      <c r="G11">
        <v>1</v>
      </c>
      <c r="H11">
        <f t="shared" si="0"/>
        <v>3989.3824665409388</v>
      </c>
      <c r="S11">
        <f t="shared" si="1"/>
        <v>589.13400000000001</v>
      </c>
      <c r="T11">
        <v>1</v>
      </c>
      <c r="U11">
        <f t="shared" si="2"/>
        <v>8</v>
      </c>
      <c r="V11">
        <f t="shared" si="3"/>
        <v>8</v>
      </c>
      <c r="W11">
        <f t="shared" si="4"/>
        <v>9383.3186792229135</v>
      </c>
      <c r="AI11">
        <f t="shared" si="5"/>
        <v>589.13400000000001</v>
      </c>
      <c r="AJ11">
        <v>1</v>
      </c>
      <c r="AK11">
        <f t="shared" si="6"/>
        <v>8</v>
      </c>
      <c r="AL11">
        <f t="shared" si="7"/>
        <v>1</v>
      </c>
      <c r="AM11">
        <f t="shared" si="8"/>
        <v>8</v>
      </c>
      <c r="AN11">
        <f t="shared" si="9"/>
        <v>4680.2893906028094</v>
      </c>
    </row>
    <row r="12" spans="4:40">
      <c r="D12">
        <v>682.73400000000004</v>
      </c>
      <c r="E12">
        <v>1</v>
      </c>
      <c r="F12">
        <v>19</v>
      </c>
      <c r="G12">
        <v>1</v>
      </c>
      <c r="H12">
        <f t="shared" si="0"/>
        <v>545.19769062713283</v>
      </c>
      <c r="S12">
        <f t="shared" si="1"/>
        <v>682.73400000000004</v>
      </c>
      <c r="T12">
        <v>1</v>
      </c>
      <c r="U12">
        <f t="shared" si="2"/>
        <v>19</v>
      </c>
      <c r="V12">
        <f t="shared" si="3"/>
        <v>19</v>
      </c>
      <c r="W12">
        <f t="shared" si="4"/>
        <v>630.36276198345638</v>
      </c>
      <c r="AI12">
        <f t="shared" si="5"/>
        <v>682.73400000000004</v>
      </c>
      <c r="AJ12">
        <v>1</v>
      </c>
      <c r="AK12">
        <f t="shared" si="6"/>
        <v>19</v>
      </c>
      <c r="AL12">
        <f t="shared" si="7"/>
        <v>1</v>
      </c>
      <c r="AM12">
        <f t="shared" si="8"/>
        <v>19</v>
      </c>
      <c r="AN12">
        <f t="shared" si="9"/>
        <v>8.1734448011907199E-2</v>
      </c>
    </row>
    <row r="13" spans="4:40">
      <c r="D13">
        <v>416.52</v>
      </c>
      <c r="E13">
        <v>1</v>
      </c>
      <c r="F13">
        <v>5</v>
      </c>
      <c r="G13">
        <v>1</v>
      </c>
      <c r="H13">
        <f t="shared" si="0"/>
        <v>5338.8341534142537</v>
      </c>
      <c r="S13">
        <f t="shared" si="1"/>
        <v>416.52</v>
      </c>
      <c r="T13">
        <v>1</v>
      </c>
      <c r="U13">
        <f t="shared" si="2"/>
        <v>5</v>
      </c>
      <c r="V13">
        <f t="shared" si="3"/>
        <v>5</v>
      </c>
      <c r="W13">
        <f t="shared" si="4"/>
        <v>287.41801534506044</v>
      </c>
      <c r="AI13">
        <f t="shared" si="5"/>
        <v>416.52</v>
      </c>
      <c r="AJ13">
        <v>1</v>
      </c>
      <c r="AK13">
        <f t="shared" si="6"/>
        <v>5</v>
      </c>
      <c r="AL13">
        <f t="shared" si="7"/>
        <v>1</v>
      </c>
      <c r="AM13">
        <f t="shared" si="8"/>
        <v>5</v>
      </c>
      <c r="AN13">
        <f t="shared" si="9"/>
        <v>3611.2965831904035</v>
      </c>
    </row>
    <row r="14" spans="4:40">
      <c r="D14">
        <v>458.40600000000001</v>
      </c>
      <c r="E14">
        <v>1</v>
      </c>
      <c r="F14">
        <v>5</v>
      </c>
      <c r="G14">
        <v>1</v>
      </c>
      <c r="H14">
        <f t="shared" si="0"/>
        <v>972.27510162650481</v>
      </c>
      <c r="S14">
        <f t="shared" si="1"/>
        <v>458.40600000000001</v>
      </c>
      <c r="T14">
        <v>1</v>
      </c>
      <c r="U14">
        <f t="shared" si="2"/>
        <v>5</v>
      </c>
      <c r="V14">
        <f t="shared" si="3"/>
        <v>5</v>
      </c>
      <c r="W14">
        <f t="shared" si="4"/>
        <v>621.63418423644646</v>
      </c>
      <c r="AI14">
        <f t="shared" si="5"/>
        <v>458.40600000000001</v>
      </c>
      <c r="AJ14">
        <v>1</v>
      </c>
      <c r="AK14">
        <f t="shared" si="6"/>
        <v>5</v>
      </c>
      <c r="AL14">
        <f t="shared" si="7"/>
        <v>1</v>
      </c>
      <c r="AM14">
        <f t="shared" si="8"/>
        <v>5</v>
      </c>
      <c r="AN14">
        <f t="shared" si="9"/>
        <v>331.53361133944895</v>
      </c>
    </row>
    <row r="15" spans="4:40">
      <c r="D15">
        <v>540.22799999999995</v>
      </c>
      <c r="E15">
        <v>1</v>
      </c>
      <c r="F15">
        <v>15</v>
      </c>
      <c r="G15">
        <v>1</v>
      </c>
      <c r="H15">
        <f t="shared" si="0"/>
        <v>4990.4396780391708</v>
      </c>
      <c r="S15">
        <f t="shared" si="1"/>
        <v>540.22799999999995</v>
      </c>
      <c r="T15">
        <v>1</v>
      </c>
      <c r="U15">
        <f t="shared" si="2"/>
        <v>15</v>
      </c>
      <c r="V15">
        <f t="shared" si="3"/>
        <v>15</v>
      </c>
      <c r="W15">
        <f t="shared" si="4"/>
        <v>7960.6148690361815</v>
      </c>
      <c r="AI15">
        <f t="shared" si="5"/>
        <v>540.22799999999995</v>
      </c>
      <c r="AJ15">
        <v>1</v>
      </c>
      <c r="AK15">
        <f t="shared" si="6"/>
        <v>15</v>
      </c>
      <c r="AL15">
        <f t="shared" si="7"/>
        <v>1</v>
      </c>
      <c r="AM15">
        <f t="shared" si="8"/>
        <v>15</v>
      </c>
      <c r="AN15">
        <f t="shared" si="9"/>
        <v>6957.2916600167864</v>
      </c>
    </row>
    <row r="16" spans="4:40">
      <c r="D16">
        <v>412.23</v>
      </c>
      <c r="E16">
        <v>1</v>
      </c>
      <c r="F16">
        <v>2</v>
      </c>
      <c r="G16">
        <v>1</v>
      </c>
      <c r="H16">
        <f t="shared" si="0"/>
        <v>1678.7220572340639</v>
      </c>
      <c r="S16">
        <f t="shared" si="1"/>
        <v>412.23</v>
      </c>
      <c r="T16">
        <v>1</v>
      </c>
      <c r="U16">
        <f t="shared" si="2"/>
        <v>2</v>
      </c>
      <c r="V16">
        <f t="shared" si="3"/>
        <v>2</v>
      </c>
      <c r="W16">
        <f t="shared" si="4"/>
        <v>1409.9765166766654</v>
      </c>
      <c r="AI16">
        <f t="shared" si="5"/>
        <v>412.23</v>
      </c>
      <c r="AJ16">
        <v>1</v>
      </c>
      <c r="AK16">
        <f t="shared" si="6"/>
        <v>2</v>
      </c>
      <c r="AL16">
        <f t="shared" si="7"/>
        <v>1</v>
      </c>
      <c r="AM16">
        <f t="shared" si="8"/>
        <v>2</v>
      </c>
      <c r="AN16">
        <f t="shared" si="9"/>
        <v>411.14738111115417</v>
      </c>
    </row>
    <row r="17" spans="4:40">
      <c r="D17">
        <v>635.77800000000002</v>
      </c>
      <c r="E17">
        <v>1</v>
      </c>
      <c r="F17">
        <v>12</v>
      </c>
      <c r="G17">
        <v>1</v>
      </c>
      <c r="H17">
        <f t="shared" si="0"/>
        <v>3756.7180027426407</v>
      </c>
      <c r="S17">
        <f t="shared" si="1"/>
        <v>635.77800000000002</v>
      </c>
      <c r="T17">
        <v>1</v>
      </c>
      <c r="U17">
        <f t="shared" si="2"/>
        <v>12</v>
      </c>
      <c r="V17">
        <f t="shared" si="3"/>
        <v>12</v>
      </c>
      <c r="W17">
        <f t="shared" si="4"/>
        <v>4240.7164216691572</v>
      </c>
      <c r="AI17">
        <f t="shared" si="5"/>
        <v>635.77800000000002</v>
      </c>
      <c r="AJ17">
        <v>1</v>
      </c>
      <c r="AK17">
        <f t="shared" si="6"/>
        <v>12</v>
      </c>
      <c r="AL17">
        <f t="shared" si="7"/>
        <v>1</v>
      </c>
      <c r="AM17">
        <f t="shared" si="8"/>
        <v>12</v>
      </c>
      <c r="AN17">
        <f t="shared" si="9"/>
        <v>3163.7153296005454</v>
      </c>
    </row>
    <row r="18" spans="4:40">
      <c r="D18">
        <v>459.49799999999999</v>
      </c>
      <c r="E18">
        <v>1</v>
      </c>
      <c r="F18">
        <v>8</v>
      </c>
      <c r="G18">
        <v>1</v>
      </c>
      <c r="H18">
        <f t="shared" si="0"/>
        <v>4418.8513786390486</v>
      </c>
      <c r="S18">
        <f t="shared" si="1"/>
        <v>459.49799999999999</v>
      </c>
      <c r="T18">
        <v>1</v>
      </c>
      <c r="U18">
        <f t="shared" si="2"/>
        <v>8</v>
      </c>
      <c r="V18">
        <f t="shared" si="3"/>
        <v>8</v>
      </c>
      <c r="W18">
        <f t="shared" si="4"/>
        <v>1073.772520961815</v>
      </c>
      <c r="AI18">
        <f t="shared" si="5"/>
        <v>459.49799999999999</v>
      </c>
      <c r="AJ18">
        <v>1</v>
      </c>
      <c r="AK18">
        <f t="shared" si="6"/>
        <v>8</v>
      </c>
      <c r="AL18">
        <f t="shared" si="7"/>
        <v>1</v>
      </c>
      <c r="AM18">
        <f t="shared" si="8"/>
        <v>8</v>
      </c>
      <c r="AN18">
        <f t="shared" si="9"/>
        <v>3748.2997391407412</v>
      </c>
    </row>
    <row r="19" spans="4:40">
      <c r="D19">
        <v>714.32399999999996</v>
      </c>
      <c r="E19">
        <v>1</v>
      </c>
      <c r="F19">
        <v>20</v>
      </c>
      <c r="G19">
        <v>1</v>
      </c>
      <c r="H19">
        <f t="shared" si="0"/>
        <v>1832.790022236801</v>
      </c>
      <c r="S19">
        <f t="shared" si="1"/>
        <v>714.32399999999996</v>
      </c>
      <c r="T19">
        <v>1</v>
      </c>
      <c r="U19">
        <f t="shared" si="2"/>
        <v>20</v>
      </c>
      <c r="V19">
        <f t="shared" si="3"/>
        <v>20</v>
      </c>
      <c r="W19">
        <f t="shared" si="4"/>
        <v>171.99570274221864</v>
      </c>
      <c r="AI19">
        <f t="shared" si="5"/>
        <v>714.32399999999996</v>
      </c>
      <c r="AJ19">
        <v>1</v>
      </c>
      <c r="AK19">
        <f t="shared" si="6"/>
        <v>20</v>
      </c>
      <c r="AL19">
        <f t="shared" si="7"/>
        <v>1</v>
      </c>
      <c r="AM19">
        <f t="shared" si="8"/>
        <v>20</v>
      </c>
      <c r="AN19">
        <f t="shared" si="9"/>
        <v>294.92775297764325</v>
      </c>
    </row>
    <row r="20" spans="4:40">
      <c r="D20">
        <v>417.22199999999998</v>
      </c>
      <c r="E20">
        <v>1</v>
      </c>
      <c r="F20">
        <v>3</v>
      </c>
      <c r="G20">
        <v>1</v>
      </c>
      <c r="H20">
        <f t="shared" si="0"/>
        <v>2314.4357182967751</v>
      </c>
      <c r="S20">
        <f t="shared" si="1"/>
        <v>417.22199999999998</v>
      </c>
      <c r="T20">
        <v>1</v>
      </c>
      <c r="U20">
        <f t="shared" si="2"/>
        <v>3</v>
      </c>
      <c r="V20">
        <f t="shared" si="3"/>
        <v>3</v>
      </c>
      <c r="W20">
        <f t="shared" si="4"/>
        <v>526.42561926434212</v>
      </c>
      <c r="AI20">
        <f t="shared" si="5"/>
        <v>417.22199999999998</v>
      </c>
      <c r="AJ20">
        <v>1</v>
      </c>
      <c r="AK20">
        <f t="shared" si="6"/>
        <v>3</v>
      </c>
      <c r="AL20">
        <f t="shared" si="7"/>
        <v>1</v>
      </c>
      <c r="AM20">
        <f t="shared" si="8"/>
        <v>3</v>
      </c>
      <c r="AN20">
        <f t="shared" si="9"/>
        <v>899.23223274695363</v>
      </c>
    </row>
    <row r="21" spans="4:40">
      <c r="D21">
        <v>539.91600000000005</v>
      </c>
      <c r="E21">
        <v>1</v>
      </c>
      <c r="F21">
        <v>5</v>
      </c>
      <c r="G21">
        <v>1</v>
      </c>
      <c r="H21">
        <f t="shared" si="0"/>
        <v>2532.975409637324</v>
      </c>
      <c r="S21">
        <f t="shared" si="1"/>
        <v>539.91600000000005</v>
      </c>
      <c r="T21">
        <v>1</v>
      </c>
      <c r="U21">
        <f t="shared" si="2"/>
        <v>5</v>
      </c>
      <c r="V21">
        <f t="shared" si="3"/>
        <v>5</v>
      </c>
      <c r="W21">
        <f t="shared" si="4"/>
        <v>11330.025564146139</v>
      </c>
      <c r="AI21">
        <f t="shared" si="5"/>
        <v>539.91600000000005</v>
      </c>
      <c r="AJ21">
        <v>1</v>
      </c>
      <c r="AK21">
        <f t="shared" si="6"/>
        <v>5</v>
      </c>
      <c r="AL21">
        <f t="shared" si="7"/>
        <v>1</v>
      </c>
      <c r="AM21">
        <f t="shared" si="8"/>
        <v>5</v>
      </c>
      <c r="AN21">
        <f t="shared" si="9"/>
        <v>4007.1350432496183</v>
      </c>
    </row>
    <row r="22" spans="4:40">
      <c r="D22">
        <v>664.95</v>
      </c>
      <c r="E22">
        <v>1</v>
      </c>
      <c r="F22">
        <v>11</v>
      </c>
      <c r="G22">
        <v>1</v>
      </c>
      <c r="H22">
        <f t="shared" si="0"/>
        <v>10525.209377064386</v>
      </c>
      <c r="S22">
        <f t="shared" si="1"/>
        <v>664.95</v>
      </c>
      <c r="T22">
        <v>1</v>
      </c>
      <c r="U22">
        <f t="shared" si="2"/>
        <v>11</v>
      </c>
      <c r="V22">
        <f t="shared" si="3"/>
        <v>11</v>
      </c>
      <c r="W22">
        <f t="shared" si="4"/>
        <v>12971.039247846946</v>
      </c>
      <c r="AI22">
        <f t="shared" si="5"/>
        <v>664.95</v>
      </c>
      <c r="AJ22">
        <v>1</v>
      </c>
      <c r="AK22">
        <f t="shared" si="6"/>
        <v>11</v>
      </c>
      <c r="AL22">
        <f t="shared" si="7"/>
        <v>1</v>
      </c>
      <c r="AM22">
        <f t="shared" si="8"/>
        <v>11</v>
      </c>
      <c r="AN22">
        <f t="shared" si="9"/>
        <v>10024.283847001185</v>
      </c>
    </row>
    <row r="23" spans="4:40">
      <c r="D23">
        <v>415.35</v>
      </c>
      <c r="E23">
        <v>1</v>
      </c>
      <c r="F23">
        <v>6</v>
      </c>
      <c r="G23">
        <v>1</v>
      </c>
      <c r="H23">
        <f t="shared" si="0"/>
        <v>7459.0337841984274</v>
      </c>
      <c r="S23">
        <f t="shared" si="1"/>
        <v>415.35</v>
      </c>
      <c r="T23">
        <v>1</v>
      </c>
      <c r="U23">
        <f t="shared" si="2"/>
        <v>6</v>
      </c>
      <c r="V23">
        <f t="shared" si="3"/>
        <v>6</v>
      </c>
      <c r="W23">
        <f t="shared" si="4"/>
        <v>1422.8809520417767</v>
      </c>
      <c r="AI23">
        <f t="shared" si="5"/>
        <v>415.35</v>
      </c>
      <c r="AJ23">
        <v>1</v>
      </c>
      <c r="AK23">
        <f t="shared" si="6"/>
        <v>6</v>
      </c>
      <c r="AL23">
        <f t="shared" si="7"/>
        <v>1</v>
      </c>
      <c r="AM23">
        <f t="shared" si="8"/>
        <v>6</v>
      </c>
      <c r="AN23">
        <f t="shared" si="9"/>
        <v>5770.908531820136</v>
      </c>
    </row>
    <row r="24" spans="4:40">
      <c r="D24">
        <v>548.49599999999998</v>
      </c>
      <c r="E24">
        <v>1</v>
      </c>
      <c r="F24">
        <v>7</v>
      </c>
      <c r="G24">
        <v>1</v>
      </c>
      <c r="H24">
        <f t="shared" si="0"/>
        <v>1200.7562698824581</v>
      </c>
      <c r="S24">
        <f t="shared" si="1"/>
        <v>548.49599999999998</v>
      </c>
      <c r="T24">
        <v>1</v>
      </c>
      <c r="U24">
        <f t="shared" si="2"/>
        <v>7</v>
      </c>
      <c r="V24">
        <f t="shared" si="3"/>
        <v>7</v>
      </c>
      <c r="W24">
        <f t="shared" si="4"/>
        <v>5749.7670917289106</v>
      </c>
      <c r="AI24">
        <f t="shared" si="5"/>
        <v>548.49599999999998</v>
      </c>
      <c r="AJ24">
        <v>1</v>
      </c>
      <c r="AK24">
        <f t="shared" si="6"/>
        <v>7</v>
      </c>
      <c r="AL24">
        <f t="shared" si="7"/>
        <v>1</v>
      </c>
      <c r="AM24">
        <f t="shared" si="8"/>
        <v>7</v>
      </c>
      <c r="AN24">
        <f t="shared" si="9"/>
        <v>1804.3016653294703</v>
      </c>
    </row>
    <row r="25" spans="4:40">
      <c r="D25">
        <v>404.50799999999998</v>
      </c>
      <c r="E25">
        <v>1</v>
      </c>
      <c r="F25">
        <v>1</v>
      </c>
      <c r="G25">
        <v>1</v>
      </c>
      <c r="H25">
        <f t="shared" si="0"/>
        <v>1337.0605818211625</v>
      </c>
      <c r="S25">
        <f t="shared" si="1"/>
        <v>404.50799999999998</v>
      </c>
      <c r="T25">
        <v>1</v>
      </c>
      <c r="U25">
        <f t="shared" si="2"/>
        <v>1</v>
      </c>
      <c r="V25">
        <f t="shared" si="3"/>
        <v>1</v>
      </c>
      <c r="W25">
        <f t="shared" si="4"/>
        <v>2442.8643412525453</v>
      </c>
      <c r="AI25">
        <f t="shared" si="5"/>
        <v>404.50799999999998</v>
      </c>
      <c r="AJ25">
        <v>1</v>
      </c>
      <c r="AK25">
        <f t="shared" si="6"/>
        <v>1</v>
      </c>
      <c r="AL25">
        <f t="shared" si="7"/>
        <v>1</v>
      </c>
      <c r="AM25">
        <f t="shared" si="8"/>
        <v>1</v>
      </c>
      <c r="AN25">
        <f t="shared" si="9"/>
        <v>176.79259992826587</v>
      </c>
    </row>
    <row r="26" spans="4:40">
      <c r="D26">
        <v>592.72199999999998</v>
      </c>
      <c r="E26">
        <v>1</v>
      </c>
      <c r="F26">
        <v>7</v>
      </c>
      <c r="G26">
        <v>1</v>
      </c>
      <c r="H26">
        <f t="shared" si="0"/>
        <v>6221.7278801405218</v>
      </c>
      <c r="S26">
        <f t="shared" si="1"/>
        <v>592.72199999999998</v>
      </c>
      <c r="T26">
        <v>1</v>
      </c>
      <c r="U26">
        <f t="shared" si="2"/>
        <v>7</v>
      </c>
      <c r="V26">
        <f t="shared" si="3"/>
        <v>7</v>
      </c>
      <c r="W26">
        <f t="shared" si="4"/>
        <v>14412.775313819906</v>
      </c>
      <c r="AI26">
        <f t="shared" si="5"/>
        <v>592.72199999999998</v>
      </c>
      <c r="AJ26">
        <v>1</v>
      </c>
      <c r="AK26">
        <f t="shared" si="6"/>
        <v>7</v>
      </c>
      <c r="AL26">
        <f t="shared" si="7"/>
        <v>1</v>
      </c>
      <c r="AM26">
        <f t="shared" si="8"/>
        <v>7</v>
      </c>
      <c r="AN26">
        <f t="shared" si="9"/>
        <v>7517.4227343182456</v>
      </c>
    </row>
    <row r="27" spans="4:40">
      <c r="D27">
        <v>708.63</v>
      </c>
      <c r="E27">
        <v>1</v>
      </c>
      <c r="F27">
        <v>16</v>
      </c>
      <c r="G27">
        <v>1</v>
      </c>
      <c r="H27">
        <f t="shared" si="0"/>
        <v>7332.5969367142561</v>
      </c>
      <c r="S27">
        <f t="shared" si="1"/>
        <v>708.63</v>
      </c>
      <c r="T27">
        <v>1</v>
      </c>
      <c r="U27">
        <f t="shared" si="2"/>
        <v>16</v>
      </c>
      <c r="V27">
        <f t="shared" si="3"/>
        <v>16</v>
      </c>
      <c r="W27">
        <f t="shared" si="4"/>
        <v>3550.0189015953511</v>
      </c>
      <c r="AI27">
        <f t="shared" si="5"/>
        <v>708.63</v>
      </c>
      <c r="AJ27">
        <v>1</v>
      </c>
      <c r="AK27">
        <f t="shared" si="6"/>
        <v>16</v>
      </c>
      <c r="AL27">
        <f t="shared" si="7"/>
        <v>1</v>
      </c>
      <c r="AM27">
        <f t="shared" si="8"/>
        <v>16</v>
      </c>
      <c r="AN27">
        <f t="shared" si="9"/>
        <v>4940.5698564000277</v>
      </c>
    </row>
    <row r="28" spans="4:40">
      <c r="D28">
        <v>568.15200000000004</v>
      </c>
      <c r="E28">
        <v>1</v>
      </c>
      <c r="F28">
        <v>6</v>
      </c>
      <c r="G28">
        <v>1</v>
      </c>
      <c r="H28">
        <f t="shared" si="0"/>
        <v>4413.7822286882028</v>
      </c>
      <c r="S28">
        <f t="shared" si="1"/>
        <v>568.15200000000004</v>
      </c>
      <c r="T28">
        <v>1</v>
      </c>
      <c r="U28">
        <f t="shared" si="2"/>
        <v>6</v>
      </c>
      <c r="V28">
        <f t="shared" si="3"/>
        <v>6</v>
      </c>
      <c r="W28">
        <f t="shared" si="4"/>
        <v>13243.614866335465</v>
      </c>
      <c r="AI28">
        <f t="shared" si="5"/>
        <v>568.15200000000004</v>
      </c>
      <c r="AJ28">
        <v>1</v>
      </c>
      <c r="AK28">
        <f t="shared" si="6"/>
        <v>6</v>
      </c>
      <c r="AL28">
        <f t="shared" si="7"/>
        <v>1</v>
      </c>
      <c r="AM28">
        <f t="shared" si="8"/>
        <v>6</v>
      </c>
      <c r="AN28">
        <f t="shared" si="9"/>
        <v>5903.6946574339736</v>
      </c>
    </row>
    <row r="29" spans="4:40">
      <c r="D29">
        <v>649.428</v>
      </c>
      <c r="E29">
        <v>1</v>
      </c>
      <c r="F29">
        <v>15</v>
      </c>
      <c r="G29">
        <v>1</v>
      </c>
      <c r="H29">
        <f t="shared" si="0"/>
        <v>1486.6388491889647</v>
      </c>
      <c r="S29">
        <f t="shared" si="1"/>
        <v>649.428</v>
      </c>
      <c r="T29">
        <v>1</v>
      </c>
      <c r="U29">
        <f t="shared" si="2"/>
        <v>15</v>
      </c>
      <c r="V29">
        <f t="shared" si="3"/>
        <v>15</v>
      </c>
      <c r="W29">
        <f t="shared" si="4"/>
        <v>399.10938134122853</v>
      </c>
      <c r="AI29">
        <f t="shared" si="5"/>
        <v>649.428</v>
      </c>
      <c r="AJ29">
        <v>1</v>
      </c>
      <c r="AK29">
        <f t="shared" si="6"/>
        <v>15</v>
      </c>
      <c r="AL29">
        <f t="shared" si="7"/>
        <v>1</v>
      </c>
      <c r="AM29">
        <f t="shared" si="8"/>
        <v>15</v>
      </c>
      <c r="AN29">
        <f t="shared" si="9"/>
        <v>665.10444771633456</v>
      </c>
    </row>
    <row r="30" spans="4:40">
      <c r="D30">
        <v>571.35</v>
      </c>
      <c r="E30">
        <v>1</v>
      </c>
      <c r="F30">
        <v>8</v>
      </c>
      <c r="G30">
        <v>1</v>
      </c>
      <c r="H30">
        <f t="shared" si="0"/>
        <v>2059.1228113919442</v>
      </c>
      <c r="S30">
        <f t="shared" si="1"/>
        <v>571.35</v>
      </c>
      <c r="T30">
        <v>1</v>
      </c>
      <c r="U30">
        <f t="shared" si="2"/>
        <v>8</v>
      </c>
      <c r="V30">
        <f t="shared" si="3"/>
        <v>8</v>
      </c>
      <c r="W30">
        <f t="shared" si="4"/>
        <v>6254.2049711004529</v>
      </c>
      <c r="AI30">
        <f t="shared" si="5"/>
        <v>571.35</v>
      </c>
      <c r="AJ30">
        <v>1</v>
      </c>
      <c r="AK30">
        <f t="shared" si="6"/>
        <v>8</v>
      </c>
      <c r="AL30">
        <f t="shared" si="7"/>
        <v>1</v>
      </c>
      <c r="AM30">
        <f t="shared" si="8"/>
        <v>8</v>
      </c>
      <c r="AN30">
        <f t="shared" si="9"/>
        <v>2563.2592465899625</v>
      </c>
    </row>
    <row r="31" spans="4:40">
      <c r="D31">
        <v>498.81</v>
      </c>
      <c r="E31">
        <v>1</v>
      </c>
      <c r="F31">
        <v>4</v>
      </c>
      <c r="G31">
        <v>1</v>
      </c>
      <c r="H31">
        <f t="shared" si="0"/>
        <v>455.86714921515699</v>
      </c>
      <c r="S31">
        <f t="shared" si="1"/>
        <v>498.81</v>
      </c>
      <c r="T31">
        <v>1</v>
      </c>
      <c r="U31">
        <f t="shared" si="2"/>
        <v>4</v>
      </c>
      <c r="V31">
        <f t="shared" si="3"/>
        <v>4</v>
      </c>
      <c r="W31">
        <f t="shared" si="4"/>
        <v>7213.8318984903353</v>
      </c>
      <c r="AI31">
        <f t="shared" si="5"/>
        <v>498.81</v>
      </c>
      <c r="AJ31">
        <v>1</v>
      </c>
      <c r="AK31">
        <f t="shared" si="6"/>
        <v>4</v>
      </c>
      <c r="AL31">
        <f t="shared" si="7"/>
        <v>1</v>
      </c>
      <c r="AM31">
        <f t="shared" si="8"/>
        <v>4</v>
      </c>
      <c r="AN31">
        <f t="shared" si="9"/>
        <v>1361.4895017367833</v>
      </c>
    </row>
    <row r="32" spans="4:40">
      <c r="D32">
        <v>448.65600000000001</v>
      </c>
      <c r="E32">
        <v>1</v>
      </c>
      <c r="F32">
        <v>4</v>
      </c>
      <c r="G32">
        <v>1</v>
      </c>
      <c r="H32">
        <f t="shared" si="0"/>
        <v>829.61018081692771</v>
      </c>
      <c r="S32">
        <f t="shared" si="1"/>
        <v>448.65600000000001</v>
      </c>
      <c r="T32">
        <v>1</v>
      </c>
      <c r="U32">
        <f t="shared" si="2"/>
        <v>4</v>
      </c>
      <c r="V32">
        <f t="shared" si="3"/>
        <v>4</v>
      </c>
      <c r="W32">
        <f t="shared" si="4"/>
        <v>1209.6678684312826</v>
      </c>
      <c r="AI32">
        <f t="shared" si="5"/>
        <v>448.65600000000001</v>
      </c>
      <c r="AJ32">
        <v>1</v>
      </c>
      <c r="AK32">
        <f t="shared" si="6"/>
        <v>4</v>
      </c>
      <c r="AL32">
        <f t="shared" si="7"/>
        <v>1</v>
      </c>
      <c r="AM32">
        <f t="shared" si="8"/>
        <v>4</v>
      </c>
      <c r="AN32">
        <f t="shared" si="9"/>
        <v>175.71180103234892</v>
      </c>
    </row>
    <row r="33" spans="4:46">
      <c r="D33">
        <v>443.43</v>
      </c>
      <c r="E33">
        <v>1</v>
      </c>
      <c r="F33">
        <v>7</v>
      </c>
      <c r="G33">
        <v>1</v>
      </c>
      <c r="H33">
        <f t="shared" si="0"/>
        <v>4958.1412191000709</v>
      </c>
      <c r="S33">
        <f t="shared" si="1"/>
        <v>443.43</v>
      </c>
      <c r="T33">
        <v>1</v>
      </c>
      <c r="U33">
        <f t="shared" si="2"/>
        <v>7</v>
      </c>
      <c r="V33">
        <f t="shared" si="3"/>
        <v>7</v>
      </c>
      <c r="W33">
        <f t="shared" si="4"/>
        <v>854.90633347040398</v>
      </c>
      <c r="AI33">
        <f t="shared" si="5"/>
        <v>443.43</v>
      </c>
      <c r="AJ33">
        <v>1</v>
      </c>
      <c r="AK33">
        <f t="shared" si="6"/>
        <v>7</v>
      </c>
      <c r="AL33">
        <f t="shared" si="7"/>
        <v>1</v>
      </c>
      <c r="AM33">
        <f t="shared" si="8"/>
        <v>7</v>
      </c>
      <c r="AN33">
        <f t="shared" si="9"/>
        <v>3917.3738792555928</v>
      </c>
    </row>
    <row r="34" spans="4:46">
      <c r="D34">
        <v>607.77599999999995</v>
      </c>
      <c r="E34">
        <v>1</v>
      </c>
      <c r="F34">
        <v>10</v>
      </c>
      <c r="G34">
        <v>1</v>
      </c>
      <c r="H34">
        <f t="shared" si="0"/>
        <v>3311.6359018751814</v>
      </c>
      <c r="S34">
        <f t="shared" si="1"/>
        <v>607.77599999999995</v>
      </c>
      <c r="T34">
        <v>1</v>
      </c>
      <c r="U34">
        <f t="shared" si="2"/>
        <v>10</v>
      </c>
      <c r="V34">
        <f t="shared" si="3"/>
        <v>10</v>
      </c>
      <c r="W34">
        <f t="shared" si="4"/>
        <v>5823.8506300570234</v>
      </c>
      <c r="AI34">
        <f t="shared" si="5"/>
        <v>607.77599999999995</v>
      </c>
      <c r="AJ34">
        <v>1</v>
      </c>
      <c r="AK34">
        <f t="shared" si="6"/>
        <v>10</v>
      </c>
      <c r="AL34">
        <f t="shared" si="7"/>
        <v>1</v>
      </c>
      <c r="AM34">
        <f t="shared" si="8"/>
        <v>10</v>
      </c>
      <c r="AN34">
        <f t="shared" si="9"/>
        <v>3323.4968188423823</v>
      </c>
    </row>
    <row r="35" spans="4:46">
      <c r="D35">
        <v>398.73599999999999</v>
      </c>
      <c r="E35">
        <v>1</v>
      </c>
      <c r="F35">
        <v>3</v>
      </c>
      <c r="G35">
        <v>1</v>
      </c>
      <c r="H35">
        <f t="shared" si="0"/>
        <v>4434.8384296136428</v>
      </c>
      <c r="S35">
        <f t="shared" si="1"/>
        <v>398.73599999999999</v>
      </c>
      <c r="T35">
        <v>1</v>
      </c>
      <c r="U35">
        <f t="shared" si="2"/>
        <v>3</v>
      </c>
      <c r="V35">
        <f t="shared" si="3"/>
        <v>3</v>
      </c>
      <c r="W35">
        <f t="shared" si="4"/>
        <v>19.873469300411234</v>
      </c>
      <c r="AI35">
        <f t="shared" si="5"/>
        <v>398.73599999999999</v>
      </c>
      <c r="AJ35">
        <v>1</v>
      </c>
      <c r="AK35">
        <f t="shared" si="6"/>
        <v>3</v>
      </c>
      <c r="AL35">
        <f t="shared" si="7"/>
        <v>1</v>
      </c>
      <c r="AM35">
        <f t="shared" si="8"/>
        <v>3</v>
      </c>
      <c r="AN35">
        <f t="shared" si="9"/>
        <v>2349.651229625541</v>
      </c>
    </row>
    <row r="36" spans="4:46">
      <c r="D36">
        <v>422.76</v>
      </c>
      <c r="E36">
        <v>1</v>
      </c>
      <c r="F36">
        <v>4</v>
      </c>
      <c r="G36">
        <v>1</v>
      </c>
      <c r="H36">
        <f t="shared" si="0"/>
        <v>2991.9756098865837</v>
      </c>
      <c r="S36">
        <f t="shared" si="1"/>
        <v>422.76</v>
      </c>
      <c r="T36">
        <v>1</v>
      </c>
      <c r="U36">
        <f t="shared" si="2"/>
        <v>4</v>
      </c>
      <c r="V36">
        <f t="shared" si="3"/>
        <v>4</v>
      </c>
      <c r="W36">
        <f t="shared" si="4"/>
        <v>78.930428960666788</v>
      </c>
      <c r="AI36">
        <f t="shared" si="5"/>
        <v>422.76</v>
      </c>
      <c r="AJ36">
        <v>1</v>
      </c>
      <c r="AK36">
        <f t="shared" si="6"/>
        <v>4</v>
      </c>
      <c r="AL36">
        <f t="shared" si="7"/>
        <v>1</v>
      </c>
      <c r="AM36">
        <f t="shared" si="8"/>
        <v>4</v>
      </c>
      <c r="AN36">
        <f t="shared" si="9"/>
        <v>1532.850351212953</v>
      </c>
    </row>
    <row r="37" spans="4:46">
      <c r="D37">
        <v>398.19</v>
      </c>
      <c r="E37">
        <v>1</v>
      </c>
      <c r="F37">
        <v>3</v>
      </c>
      <c r="G37">
        <v>1</v>
      </c>
      <c r="H37">
        <f t="shared" si="0"/>
        <v>4507.8578297959966</v>
      </c>
      <c r="S37">
        <f t="shared" si="1"/>
        <v>398.19</v>
      </c>
      <c r="T37">
        <v>1</v>
      </c>
      <c r="U37">
        <f t="shared" si="2"/>
        <v>3</v>
      </c>
      <c r="V37">
        <f t="shared" si="3"/>
        <v>3</v>
      </c>
      <c r="W37">
        <f t="shared" si="4"/>
        <v>15.303485394303616</v>
      </c>
      <c r="AI37">
        <f t="shared" si="5"/>
        <v>398.19</v>
      </c>
      <c r="AJ37">
        <v>1</v>
      </c>
      <c r="AK37">
        <f t="shared" si="6"/>
        <v>3</v>
      </c>
      <c r="AL37">
        <f t="shared" si="7"/>
        <v>1</v>
      </c>
      <c r="AM37">
        <f t="shared" si="8"/>
        <v>3</v>
      </c>
      <c r="AN37">
        <f t="shared" si="9"/>
        <v>2402.8820812801819</v>
      </c>
    </row>
    <row r="38" spans="4:46">
      <c r="D38">
        <v>703.56</v>
      </c>
      <c r="E38">
        <v>1</v>
      </c>
      <c r="F38">
        <v>22</v>
      </c>
      <c r="G38">
        <v>1</v>
      </c>
      <c r="H38">
        <f t="shared" si="0"/>
        <v>60.689605600023775</v>
      </c>
      <c r="S38">
        <f t="shared" si="1"/>
        <v>703.56</v>
      </c>
      <c r="T38">
        <v>1</v>
      </c>
      <c r="U38">
        <f t="shared" si="2"/>
        <v>22</v>
      </c>
      <c r="V38">
        <f t="shared" si="3"/>
        <v>22</v>
      </c>
      <c r="W38">
        <f t="shared" si="4"/>
        <v>3978.3404954144744</v>
      </c>
      <c r="AI38">
        <f t="shared" si="5"/>
        <v>703.56</v>
      </c>
      <c r="AJ38">
        <v>1</v>
      </c>
      <c r="AK38">
        <f t="shared" si="6"/>
        <v>22</v>
      </c>
      <c r="AL38">
        <f t="shared" si="7"/>
        <v>1</v>
      </c>
      <c r="AM38">
        <f t="shared" si="8"/>
        <v>22</v>
      </c>
      <c r="AN38">
        <f t="shared" si="9"/>
        <v>528.78854044004527</v>
      </c>
    </row>
    <row r="39" spans="4:46">
      <c r="D39">
        <v>602.31600000000003</v>
      </c>
      <c r="E39">
        <v>1</v>
      </c>
      <c r="F39">
        <v>17</v>
      </c>
      <c r="G39">
        <v>1</v>
      </c>
      <c r="H39">
        <f t="shared" si="0"/>
        <v>1076.6134102369963</v>
      </c>
      <c r="S39">
        <f t="shared" si="1"/>
        <v>602.31600000000003</v>
      </c>
      <c r="T39">
        <v>1</v>
      </c>
      <c r="U39">
        <f t="shared" si="2"/>
        <v>17</v>
      </c>
      <c r="V39">
        <f t="shared" si="3"/>
        <v>17</v>
      </c>
      <c r="W39">
        <f t="shared" si="4"/>
        <v>4399.6227358873648</v>
      </c>
      <c r="AI39">
        <f t="shared" si="5"/>
        <v>602.31600000000003</v>
      </c>
      <c r="AJ39">
        <v>1</v>
      </c>
      <c r="AK39">
        <f t="shared" si="6"/>
        <v>17</v>
      </c>
      <c r="AL39">
        <f t="shared" si="7"/>
        <v>1</v>
      </c>
      <c r="AM39">
        <f t="shared" si="8"/>
        <v>17</v>
      </c>
      <c r="AN39">
        <f t="shared" si="9"/>
        <v>2573.2533161652264</v>
      </c>
    </row>
    <row r="40" spans="4:46">
      <c r="D40">
        <v>502.55399999999997</v>
      </c>
      <c r="E40">
        <v>1</v>
      </c>
      <c r="F40">
        <v>11</v>
      </c>
      <c r="G40">
        <v>1</v>
      </c>
      <c r="H40">
        <f t="shared" si="0"/>
        <v>3576.4654203178825</v>
      </c>
      <c r="J40" s="38"/>
      <c r="K40" s="40">
        <f t="array" ref="K40:M42">MMULT(TRANSPOSE(E5:G94),E5:G94)</f>
        <v>90</v>
      </c>
      <c r="L40" s="50">
        <v>956</v>
      </c>
      <c r="M40" s="41">
        <v>50</v>
      </c>
      <c r="S40">
        <f t="shared" si="1"/>
        <v>502.55399999999997</v>
      </c>
      <c r="T40">
        <v>1</v>
      </c>
      <c r="U40">
        <f t="shared" si="2"/>
        <v>11</v>
      </c>
      <c r="V40">
        <f t="shared" si="3"/>
        <v>11</v>
      </c>
      <c r="W40">
        <f t="shared" si="4"/>
        <v>2352.7864018132509</v>
      </c>
      <c r="Y40" s="38"/>
      <c r="Z40" s="40">
        <f t="array" ref="Z40:AB42">MMULT(TRANSPOSE(T5:V94),T5:V94)</f>
        <v>90</v>
      </c>
      <c r="AA40" s="50">
        <v>956</v>
      </c>
      <c r="AB40" s="41">
        <v>502</v>
      </c>
      <c r="AI40">
        <f t="shared" si="5"/>
        <v>502.55399999999997</v>
      </c>
      <c r="AJ40">
        <v>1</v>
      </c>
      <c r="AK40">
        <f t="shared" si="6"/>
        <v>11</v>
      </c>
      <c r="AL40">
        <f t="shared" si="7"/>
        <v>1</v>
      </c>
      <c r="AM40">
        <f t="shared" si="8"/>
        <v>11</v>
      </c>
      <c r="AN40">
        <f t="shared" si="9"/>
        <v>3878.1325792421121</v>
      </c>
      <c r="AP40" s="38"/>
      <c r="AQ40" s="40">
        <f t="array" ref="AQ40:AT43">MMULT(TRANSPOSE(AJ5:AM94),AJ5:AM94)</f>
        <v>90</v>
      </c>
      <c r="AR40" s="50">
        <v>956</v>
      </c>
      <c r="AS40" s="50">
        <v>50</v>
      </c>
      <c r="AT40" s="41">
        <v>502</v>
      </c>
    </row>
    <row r="41" spans="4:46">
      <c r="D41">
        <v>608.16600000000005</v>
      </c>
      <c r="E41">
        <v>1</v>
      </c>
      <c r="F41">
        <v>15</v>
      </c>
      <c r="G41">
        <v>1</v>
      </c>
      <c r="H41">
        <f t="shared" si="0"/>
        <v>7.3172635187913091</v>
      </c>
      <c r="J41" s="38" t="s">
        <v>93</v>
      </c>
      <c r="K41" s="40">
        <v>956</v>
      </c>
      <c r="L41" s="50">
        <v>13632</v>
      </c>
      <c r="M41" s="41">
        <v>502</v>
      </c>
      <c r="S41">
        <f t="shared" si="1"/>
        <v>608.16600000000005</v>
      </c>
      <c r="T41">
        <v>1</v>
      </c>
      <c r="U41">
        <f t="shared" si="2"/>
        <v>15</v>
      </c>
      <c r="V41">
        <f t="shared" si="3"/>
        <v>15</v>
      </c>
      <c r="W41">
        <f t="shared" si="4"/>
        <v>453.02048462024464</v>
      </c>
      <c r="Y41" s="38" t="s">
        <v>93</v>
      </c>
      <c r="Z41" s="40">
        <v>956</v>
      </c>
      <c r="AA41" s="50">
        <v>13632</v>
      </c>
      <c r="AB41" s="41">
        <v>6934</v>
      </c>
      <c r="AI41">
        <f t="shared" si="5"/>
        <v>608.16600000000005</v>
      </c>
      <c r="AJ41">
        <v>1</v>
      </c>
      <c r="AK41">
        <f t="shared" si="6"/>
        <v>15</v>
      </c>
      <c r="AL41">
        <f t="shared" si="7"/>
        <v>1</v>
      </c>
      <c r="AM41">
        <f t="shared" si="8"/>
        <v>15</v>
      </c>
      <c r="AN41">
        <f t="shared" si="9"/>
        <v>239.39457407843005</v>
      </c>
      <c r="AP41" s="38" t="s">
        <v>93</v>
      </c>
      <c r="AQ41" s="40">
        <v>956</v>
      </c>
      <c r="AR41" s="50">
        <v>13632</v>
      </c>
      <c r="AS41" s="50">
        <v>502</v>
      </c>
      <c r="AT41" s="41">
        <v>6934</v>
      </c>
    </row>
    <row r="42" spans="4:46">
      <c r="D42">
        <v>410.59199999999998</v>
      </c>
      <c r="E42">
        <v>1</v>
      </c>
      <c r="F42">
        <v>6</v>
      </c>
      <c r="G42">
        <v>1</v>
      </c>
      <c r="H42">
        <f t="shared" si="0"/>
        <v>8303.5283299902276</v>
      </c>
      <c r="J42" s="38"/>
      <c r="K42" s="40">
        <v>50</v>
      </c>
      <c r="L42" s="50">
        <v>502</v>
      </c>
      <c r="M42" s="41">
        <v>50</v>
      </c>
      <c r="S42">
        <f t="shared" si="1"/>
        <v>410.59199999999998</v>
      </c>
      <c r="T42">
        <v>1</v>
      </c>
      <c r="U42">
        <f t="shared" si="2"/>
        <v>6</v>
      </c>
      <c r="V42">
        <f t="shared" si="3"/>
        <v>6</v>
      </c>
      <c r="W42">
        <f t="shared" si="4"/>
        <v>1804.4734490035387</v>
      </c>
      <c r="Y42" s="38"/>
      <c r="Z42" s="40">
        <v>502</v>
      </c>
      <c r="AA42" s="50">
        <v>6934</v>
      </c>
      <c r="AB42" s="41">
        <v>6934</v>
      </c>
      <c r="AI42">
        <f t="shared" si="5"/>
        <v>410.59199999999998</v>
      </c>
      <c r="AJ42">
        <v>1</v>
      </c>
      <c r="AK42">
        <f t="shared" si="6"/>
        <v>6</v>
      </c>
      <c r="AL42">
        <f t="shared" si="7"/>
        <v>1</v>
      </c>
      <c r="AM42">
        <f t="shared" si="8"/>
        <v>6</v>
      </c>
      <c r="AN42">
        <f t="shared" si="9"/>
        <v>6516.4442728398235</v>
      </c>
      <c r="AP42" s="38"/>
      <c r="AQ42" s="40">
        <v>50</v>
      </c>
      <c r="AR42" s="50">
        <v>502</v>
      </c>
      <c r="AS42" s="50">
        <v>50</v>
      </c>
      <c r="AT42" s="41">
        <v>502</v>
      </c>
    </row>
    <row r="43" spans="4:46">
      <c r="D43">
        <v>577.59</v>
      </c>
      <c r="E43">
        <v>1</v>
      </c>
      <c r="F43">
        <v>10</v>
      </c>
      <c r="G43">
        <v>1</v>
      </c>
      <c r="H43">
        <f t="shared" si="0"/>
        <v>748.61419044224078</v>
      </c>
      <c r="S43">
        <f t="shared" si="1"/>
        <v>577.59</v>
      </c>
      <c r="T43">
        <v>1</v>
      </c>
      <c r="U43">
        <f t="shared" si="2"/>
        <v>10</v>
      </c>
      <c r="V43">
        <f t="shared" si="3"/>
        <v>10</v>
      </c>
      <c r="W43">
        <f t="shared" si="4"/>
        <v>2127.8069113964334</v>
      </c>
      <c r="AI43">
        <f t="shared" si="5"/>
        <v>577.59</v>
      </c>
      <c r="AJ43">
        <v>1</v>
      </c>
      <c r="AK43">
        <f t="shared" si="6"/>
        <v>10</v>
      </c>
      <c r="AL43">
        <f t="shared" si="7"/>
        <v>1</v>
      </c>
      <c r="AM43">
        <f t="shared" si="8"/>
        <v>10</v>
      </c>
      <c r="AN43">
        <f t="shared" si="9"/>
        <v>754.25906172740633</v>
      </c>
      <c r="AQ43" s="40">
        <v>502</v>
      </c>
      <c r="AR43" s="50">
        <v>6934</v>
      </c>
      <c r="AS43" s="50">
        <v>502</v>
      </c>
      <c r="AT43" s="41">
        <v>6934</v>
      </c>
    </row>
    <row r="44" spans="4:46">
      <c r="D44">
        <v>620.95799999999997</v>
      </c>
      <c r="E44">
        <v>1</v>
      </c>
      <c r="F44">
        <v>13</v>
      </c>
      <c r="G44">
        <v>1</v>
      </c>
      <c r="H44">
        <f t="shared" si="0"/>
        <v>1179.4896950568543</v>
      </c>
      <c r="S44">
        <f t="shared" si="1"/>
        <v>620.95799999999997</v>
      </c>
      <c r="T44">
        <v>1</v>
      </c>
      <c r="U44">
        <f t="shared" si="2"/>
        <v>13</v>
      </c>
      <c r="V44">
        <f t="shared" si="3"/>
        <v>13</v>
      </c>
      <c r="W44">
        <f t="shared" si="4"/>
        <v>942.68012012153042</v>
      </c>
      <c r="AI44">
        <f t="shared" si="5"/>
        <v>620.95799999999997</v>
      </c>
      <c r="AJ44">
        <v>1</v>
      </c>
      <c r="AK44">
        <f t="shared" si="6"/>
        <v>13</v>
      </c>
      <c r="AL44">
        <f t="shared" si="7"/>
        <v>1</v>
      </c>
      <c r="AM44">
        <f t="shared" si="8"/>
        <v>13</v>
      </c>
      <c r="AN44">
        <f t="shared" si="9"/>
        <v>714.19795427029044</v>
      </c>
    </row>
    <row r="45" spans="4:46">
      <c r="D45">
        <v>530.63400000000001</v>
      </c>
      <c r="E45">
        <v>1</v>
      </c>
      <c r="F45">
        <v>9</v>
      </c>
      <c r="G45">
        <v>1</v>
      </c>
      <c r="H45">
        <f t="shared" si="0"/>
        <v>55.753301400012433</v>
      </c>
      <c r="K45" s="40">
        <f t="array" ref="K45:M47">MINVERSE(K40:M42)</f>
        <v>6.2459072642787813E-2</v>
      </c>
      <c r="L45" s="50">
        <v>-3.3003588231531105E-3</v>
      </c>
      <c r="M45" s="41">
        <v>-2.9323470058330581E-2</v>
      </c>
      <c r="S45">
        <f t="shared" si="1"/>
        <v>530.63400000000001</v>
      </c>
      <c r="T45">
        <v>1</v>
      </c>
      <c r="U45">
        <f t="shared" si="2"/>
        <v>9</v>
      </c>
      <c r="V45">
        <f t="shared" si="3"/>
        <v>9</v>
      </c>
      <c r="W45">
        <f t="shared" si="4"/>
        <v>352.30706392295303</v>
      </c>
      <c r="Z45" s="40">
        <f t="array" ref="Z45:AB47">MINVERSE(Z40:AB42)</f>
        <v>4.3698662135517888E-2</v>
      </c>
      <c r="AA45" s="50">
        <v>-2.9619576902844323E-3</v>
      </c>
      <c r="AB45" s="41">
        <v>-2.0168932327628024E-4</v>
      </c>
      <c r="AI45">
        <f t="shared" si="5"/>
        <v>530.63400000000001</v>
      </c>
      <c r="AJ45">
        <v>1</v>
      </c>
      <c r="AK45">
        <f t="shared" si="6"/>
        <v>9</v>
      </c>
      <c r="AL45">
        <f t="shared" si="7"/>
        <v>1</v>
      </c>
      <c r="AM45">
        <f t="shared" si="8"/>
        <v>9</v>
      </c>
      <c r="AN45">
        <f t="shared" si="9"/>
        <v>22.942098578748581</v>
      </c>
      <c r="AQ45" s="40">
        <f t="array" ref="AQ45:AT48">MINVERSE(AQ40:AT43)</f>
        <v>0.10837486246844882</v>
      </c>
      <c r="AR45" s="50">
        <v>-7.3458028606562852E-3</v>
      </c>
      <c r="AS45" s="50">
        <v>-0.10837486246844887</v>
      </c>
      <c r="AT45" s="41">
        <v>7.3458028606562887E-3</v>
      </c>
    </row>
    <row r="46" spans="4:46" ht="17.25">
      <c r="D46">
        <v>671.346</v>
      </c>
      <c r="E46">
        <v>1</v>
      </c>
      <c r="F46">
        <v>24</v>
      </c>
      <c r="G46">
        <v>1</v>
      </c>
      <c r="H46">
        <f t="shared" si="0"/>
        <v>2369.7803915642944</v>
      </c>
      <c r="J46" s="38" t="s">
        <v>94</v>
      </c>
      <c r="K46" s="40">
        <v>-3.3003588231531097E-3</v>
      </c>
      <c r="L46" s="50">
        <v>2.9078051305313739E-4</v>
      </c>
      <c r="M46" s="41">
        <v>3.8092247209961034E-4</v>
      </c>
      <c r="S46">
        <f t="shared" si="1"/>
        <v>671.346</v>
      </c>
      <c r="T46">
        <v>1</v>
      </c>
      <c r="U46">
        <f t="shared" si="2"/>
        <v>24</v>
      </c>
      <c r="V46">
        <f t="shared" si="3"/>
        <v>24</v>
      </c>
      <c r="W46">
        <f t="shared" si="4"/>
        <v>18085.80141429081</v>
      </c>
      <c r="Y46" s="38" t="s">
        <v>94</v>
      </c>
      <c r="Z46" s="40">
        <v>-2.9619576902844315E-3</v>
      </c>
      <c r="AA46" s="50">
        <v>3.5006401782459426E-4</v>
      </c>
      <c r="AB46" s="41">
        <v>-1.3562750779823362E-4</v>
      </c>
      <c r="AI46">
        <f t="shared" si="5"/>
        <v>671.346</v>
      </c>
      <c r="AJ46">
        <v>1</v>
      </c>
      <c r="AK46">
        <f t="shared" si="6"/>
        <v>24</v>
      </c>
      <c r="AL46">
        <f t="shared" si="7"/>
        <v>1</v>
      </c>
      <c r="AM46">
        <f t="shared" si="8"/>
        <v>24</v>
      </c>
      <c r="AN46">
        <f t="shared" si="9"/>
        <v>7159.5739943921535</v>
      </c>
      <c r="AP46" s="38" t="s">
        <v>94</v>
      </c>
      <c r="AQ46" s="40">
        <v>-7.3458028606562809E-3</v>
      </c>
      <c r="AR46" s="50">
        <v>6.4720730049835082E-4</v>
      </c>
      <c r="AS46" s="50">
        <v>7.3458028606562835E-3</v>
      </c>
      <c r="AT46" s="41">
        <v>-6.4720730049835104E-4</v>
      </c>
    </row>
    <row r="47" spans="4:46">
      <c r="D47">
        <v>731.56200000000001</v>
      </c>
      <c r="E47">
        <v>1</v>
      </c>
      <c r="F47">
        <v>21</v>
      </c>
      <c r="G47">
        <v>1</v>
      </c>
      <c r="H47">
        <f t="shared" si="0"/>
        <v>2296.3958998673575</v>
      </c>
      <c r="K47" s="40">
        <v>-2.9323470058330591E-2</v>
      </c>
      <c r="L47" s="50">
        <v>3.8092247209961158E-4</v>
      </c>
      <c r="M47" s="41">
        <v>4.5499008438450492E-2</v>
      </c>
      <c r="S47">
        <f t="shared" si="1"/>
        <v>731.56200000000001</v>
      </c>
      <c r="T47">
        <v>1</v>
      </c>
      <c r="U47">
        <f t="shared" si="2"/>
        <v>21</v>
      </c>
      <c r="V47">
        <f t="shared" si="3"/>
        <v>21</v>
      </c>
      <c r="W47">
        <f t="shared" si="4"/>
        <v>239.45706416753757</v>
      </c>
      <c r="Z47" s="40">
        <v>-2.0168932327628062E-4</v>
      </c>
      <c r="AA47" s="50">
        <v>-1.3562750779823359E-4</v>
      </c>
      <c r="AB47" s="41">
        <v>2.9444608874497325E-4</v>
      </c>
      <c r="AI47">
        <f t="shared" si="5"/>
        <v>731.56200000000001</v>
      </c>
      <c r="AJ47">
        <v>1</v>
      </c>
      <c r="AK47">
        <f t="shared" si="6"/>
        <v>21</v>
      </c>
      <c r="AL47">
        <f t="shared" si="7"/>
        <v>1</v>
      </c>
      <c r="AM47">
        <f t="shared" si="8"/>
        <v>21</v>
      </c>
      <c r="AN47">
        <f t="shared" si="9"/>
        <v>388.44582654378991</v>
      </c>
      <c r="AQ47" s="40">
        <v>-0.10837486246844887</v>
      </c>
      <c r="AR47" s="50">
        <v>7.3458028606562887E-3</v>
      </c>
      <c r="AS47" s="50">
        <v>0.18159865228005659</v>
      </c>
      <c r="AT47" s="41">
        <v>-1.2646977144680962E-2</v>
      </c>
    </row>
    <row r="48" spans="4:46">
      <c r="D48">
        <v>521.03999999999905</v>
      </c>
      <c r="E48">
        <v>1</v>
      </c>
      <c r="F48">
        <v>5</v>
      </c>
      <c r="G48">
        <v>1</v>
      </c>
      <c r="H48">
        <f t="shared" si="0"/>
        <v>989.27069115054394</v>
      </c>
      <c r="S48">
        <f t="shared" si="1"/>
        <v>521.03999999999905</v>
      </c>
      <c r="T48">
        <v>1</v>
      </c>
      <c r="U48">
        <f t="shared" si="2"/>
        <v>5</v>
      </c>
      <c r="V48">
        <f t="shared" si="3"/>
        <v>5</v>
      </c>
      <c r="W48">
        <f t="shared" si="4"/>
        <v>7667.9081763774038</v>
      </c>
      <c r="AI48">
        <f t="shared" si="5"/>
        <v>521.03999999999905</v>
      </c>
      <c r="AJ48">
        <v>1</v>
      </c>
      <c r="AK48">
        <f t="shared" si="6"/>
        <v>5</v>
      </c>
      <c r="AL48">
        <f t="shared" si="7"/>
        <v>1</v>
      </c>
      <c r="AM48">
        <f t="shared" si="8"/>
        <v>5</v>
      </c>
      <c r="AN48">
        <f t="shared" si="9"/>
        <v>1973.6637487019079</v>
      </c>
      <c r="AQ48" s="40">
        <v>7.3458028606562843E-3</v>
      </c>
      <c r="AR48" s="50">
        <v>-6.4720730049835104E-4</v>
      </c>
      <c r="AS48" s="50">
        <v>-1.2646977144680955E-2</v>
      </c>
      <c r="AT48" s="41">
        <v>1.1752127072737167E-3</v>
      </c>
    </row>
    <row r="49" spans="4:46">
      <c r="D49">
        <v>558.09</v>
      </c>
      <c r="E49">
        <v>1</v>
      </c>
      <c r="F49">
        <v>10</v>
      </c>
      <c r="G49">
        <v>1</v>
      </c>
      <c r="H49">
        <f t="shared" si="0"/>
        <v>61.792410446795387</v>
      </c>
      <c r="K49" s="42">
        <f t="array" ref="K49:K51">MMULT(TRANSPOSE(E5:G94),D5:D94)</f>
        <v>41025.888000000006</v>
      </c>
      <c r="S49">
        <f t="shared" si="1"/>
        <v>558.09</v>
      </c>
      <c r="T49">
        <v>1</v>
      </c>
      <c r="U49">
        <f t="shared" si="2"/>
        <v>10</v>
      </c>
      <c r="V49">
        <f t="shared" si="3"/>
        <v>10</v>
      </c>
      <c r="W49">
        <f t="shared" si="4"/>
        <v>709.05877014281475</v>
      </c>
      <c r="Z49" s="42">
        <f t="array" ref="Z49:Z51">MMULT(TRANSPOSE(T5:V94),S5:S94)</f>
        <v>41025.888000000006</v>
      </c>
      <c r="AI49">
        <f t="shared" si="5"/>
        <v>558.09</v>
      </c>
      <c r="AJ49">
        <v>1</v>
      </c>
      <c r="AK49">
        <f t="shared" si="6"/>
        <v>10</v>
      </c>
      <c r="AL49">
        <f t="shared" si="7"/>
        <v>1</v>
      </c>
      <c r="AM49">
        <f t="shared" si="8"/>
        <v>10</v>
      </c>
      <c r="AN49">
        <f t="shared" si="9"/>
        <v>63.421748345633041</v>
      </c>
    </row>
    <row r="50" spans="4:46">
      <c r="D50">
        <v>449.98200000000003</v>
      </c>
      <c r="E50">
        <v>1</v>
      </c>
      <c r="F50">
        <v>6</v>
      </c>
      <c r="G50">
        <v>1</v>
      </c>
      <c r="H50">
        <f t="shared" si="0"/>
        <v>2676.3755046647157</v>
      </c>
      <c r="J50" s="38" t="s">
        <v>95</v>
      </c>
      <c r="K50" s="42">
        <v>471281.75400000002</v>
      </c>
      <c r="S50">
        <f t="shared" si="1"/>
        <v>449.98200000000003</v>
      </c>
      <c r="T50">
        <v>1</v>
      </c>
      <c r="U50">
        <f t="shared" si="2"/>
        <v>6</v>
      </c>
      <c r="V50">
        <f t="shared" si="3"/>
        <v>6</v>
      </c>
      <c r="W50">
        <f t="shared" si="4"/>
        <v>9.5425033365165106</v>
      </c>
      <c r="Y50" s="38" t="s">
        <v>95</v>
      </c>
      <c r="Z50" s="42">
        <v>471281.75400000002</v>
      </c>
      <c r="AI50">
        <f t="shared" si="5"/>
        <v>449.98200000000003</v>
      </c>
      <c r="AJ50">
        <v>1</v>
      </c>
      <c r="AK50">
        <f t="shared" si="6"/>
        <v>6</v>
      </c>
      <c r="AL50">
        <f t="shared" si="7"/>
        <v>1</v>
      </c>
      <c r="AM50">
        <f t="shared" si="8"/>
        <v>6</v>
      </c>
      <c r="AN50">
        <f t="shared" si="9"/>
        <v>1708.5405689883555</v>
      </c>
      <c r="AQ50" s="42">
        <f t="array" ref="AQ50:AQ53">MMULT(TRANSPOSE(AJ5:AM94),AI5:AI94)</f>
        <v>41025.888000000006</v>
      </c>
    </row>
    <row r="51" spans="4:46">
      <c r="D51">
        <v>525.72</v>
      </c>
      <c r="E51">
        <v>1</v>
      </c>
      <c r="F51">
        <v>7</v>
      </c>
      <c r="G51">
        <v>1</v>
      </c>
      <c r="H51">
        <f t="shared" si="0"/>
        <v>141.03771924514965</v>
      </c>
      <c r="K51">
        <v>27535.716</v>
      </c>
      <c r="M51" s="39" t="s">
        <v>114</v>
      </c>
      <c r="N51">
        <f>(H95/(90-3))^0.5</f>
        <v>44.721511464935475</v>
      </c>
      <c r="S51">
        <f t="shared" si="1"/>
        <v>525.72</v>
      </c>
      <c r="T51">
        <v>1</v>
      </c>
      <c r="U51">
        <f t="shared" si="2"/>
        <v>7</v>
      </c>
      <c r="V51">
        <f t="shared" si="3"/>
        <v>7</v>
      </c>
      <c r="W51">
        <f t="shared" si="4"/>
        <v>2814.4318027226172</v>
      </c>
      <c r="Z51">
        <v>304303.81800000003</v>
      </c>
      <c r="AB51" s="39" t="s">
        <v>114</v>
      </c>
      <c r="AC51">
        <f>(W95/(90-3))^0.5</f>
        <v>58.812348027095958</v>
      </c>
      <c r="AI51">
        <f t="shared" si="5"/>
        <v>525.72</v>
      </c>
      <c r="AJ51">
        <v>1</v>
      </c>
      <c r="AK51">
        <f t="shared" si="6"/>
        <v>7</v>
      </c>
      <c r="AL51">
        <f t="shared" si="7"/>
        <v>1</v>
      </c>
      <c r="AM51">
        <f t="shared" si="8"/>
        <v>7</v>
      </c>
      <c r="AN51">
        <f t="shared" si="9"/>
        <v>388.1322470565907</v>
      </c>
      <c r="AP51" s="38" t="s">
        <v>95</v>
      </c>
      <c r="AQ51" s="42">
        <v>471281.75400000002</v>
      </c>
    </row>
    <row r="52" spans="4:46">
      <c r="D52">
        <v>671.11199999999997</v>
      </c>
      <c r="E52">
        <v>1</v>
      </c>
      <c r="F52">
        <v>15</v>
      </c>
      <c r="G52">
        <v>1</v>
      </c>
      <c r="H52">
        <f t="shared" si="0"/>
        <v>3628.9727691744206</v>
      </c>
      <c r="S52">
        <f t="shared" si="1"/>
        <v>671.11199999999997</v>
      </c>
      <c r="T52">
        <v>1</v>
      </c>
      <c r="U52">
        <f t="shared" si="2"/>
        <v>15</v>
      </c>
      <c r="V52">
        <f t="shared" si="3"/>
        <v>15</v>
      </c>
      <c r="W52">
        <f t="shared" si="4"/>
        <v>1735.6990904989441</v>
      </c>
      <c r="AI52">
        <f t="shared" si="5"/>
        <v>671.11199999999997</v>
      </c>
      <c r="AJ52">
        <v>1</v>
      </c>
      <c r="AK52">
        <f t="shared" si="6"/>
        <v>15</v>
      </c>
      <c r="AL52">
        <f t="shared" si="7"/>
        <v>1</v>
      </c>
      <c r="AM52">
        <f t="shared" si="8"/>
        <v>15</v>
      </c>
      <c r="AN52">
        <f t="shared" si="9"/>
        <v>2253.744500130957</v>
      </c>
      <c r="AQ52" s="42">
        <v>27535.716</v>
      </c>
      <c r="AS52" s="39" t="s">
        <v>114</v>
      </c>
      <c r="AT52">
        <f>(AN95/(90-4))^0.5</f>
        <v>41.212832520175731</v>
      </c>
    </row>
    <row r="53" spans="4:46">
      <c r="D53">
        <v>427.90800000000002</v>
      </c>
      <c r="E53">
        <v>1</v>
      </c>
      <c r="F53">
        <v>3</v>
      </c>
      <c r="G53">
        <v>1</v>
      </c>
      <c r="H53">
        <f t="shared" si="0"/>
        <v>1400.4496872992572</v>
      </c>
      <c r="S53">
        <f t="shared" si="1"/>
        <v>427.90800000000002</v>
      </c>
      <c r="T53">
        <v>1</v>
      </c>
      <c r="U53">
        <f t="shared" si="2"/>
        <v>3</v>
      </c>
      <c r="V53">
        <f t="shared" si="3"/>
        <v>3</v>
      </c>
      <c r="W53">
        <f t="shared" si="4"/>
        <v>1130.9746768553089</v>
      </c>
      <c r="AI53">
        <f t="shared" si="5"/>
        <v>427.90800000000002</v>
      </c>
      <c r="AJ53">
        <v>1</v>
      </c>
      <c r="AK53">
        <f t="shared" si="6"/>
        <v>3</v>
      </c>
      <c r="AL53">
        <f t="shared" si="7"/>
        <v>1</v>
      </c>
      <c r="AM53">
        <f t="shared" si="8"/>
        <v>3</v>
      </c>
      <c r="AN53">
        <f t="shared" si="9"/>
        <v>372.53636579181898</v>
      </c>
      <c r="AQ53" s="42">
        <v>304303.81800000003</v>
      </c>
    </row>
    <row r="54" spans="4:46">
      <c r="D54">
        <v>592.33199999999999</v>
      </c>
      <c r="E54">
        <v>1</v>
      </c>
      <c r="F54">
        <v>14</v>
      </c>
      <c r="G54">
        <v>1</v>
      </c>
      <c r="H54">
        <f t="shared" si="0"/>
        <v>41.096719288983103</v>
      </c>
      <c r="K54" s="42">
        <f t="array" ref="K54:K56">MMULT(K45:M47,K49:K51)</f>
        <v>199.59728016120926</v>
      </c>
      <c r="S54">
        <f t="shared" si="1"/>
        <v>592.33199999999999</v>
      </c>
      <c r="T54">
        <v>1</v>
      </c>
      <c r="U54">
        <f t="shared" si="2"/>
        <v>14</v>
      </c>
      <c r="V54">
        <f t="shared" si="3"/>
        <v>14</v>
      </c>
      <c r="W54">
        <f t="shared" si="4"/>
        <v>306.97110217869727</v>
      </c>
      <c r="Z54" s="42">
        <f t="array" ref="Z54:Z56">MMULT(Z45:AB47,Z49:Z51)</f>
        <v>335.4849718477534</v>
      </c>
      <c r="AI54">
        <f t="shared" si="5"/>
        <v>592.33199999999999</v>
      </c>
      <c r="AJ54">
        <v>1</v>
      </c>
      <c r="AK54">
        <f t="shared" si="6"/>
        <v>14</v>
      </c>
      <c r="AL54">
        <f t="shared" si="7"/>
        <v>1</v>
      </c>
      <c r="AM54">
        <f t="shared" si="8"/>
        <v>14</v>
      </c>
      <c r="AN54">
        <f t="shared" si="9"/>
        <v>275.69113414094778</v>
      </c>
    </row>
    <row r="55" spans="4:46">
      <c r="D55">
        <v>349.38</v>
      </c>
      <c r="E55">
        <v>1</v>
      </c>
      <c r="F55">
        <v>15</v>
      </c>
      <c r="G55">
        <v>0</v>
      </c>
      <c r="H55">
        <f t="shared" si="0"/>
        <v>1033.1632587368983</v>
      </c>
      <c r="J55" s="39" t="s">
        <v>96</v>
      </c>
      <c r="K55" s="42">
        <v>12.128371791963996</v>
      </c>
      <c r="S55">
        <f t="shared" si="1"/>
        <v>349.38</v>
      </c>
      <c r="T55">
        <v>1</v>
      </c>
      <c r="U55">
        <f t="shared" si="2"/>
        <v>15</v>
      </c>
      <c r="V55">
        <f t="shared" si="3"/>
        <v>0</v>
      </c>
      <c r="W55">
        <f t="shared" si="4"/>
        <v>359.21784540609656</v>
      </c>
      <c r="Y55" s="39" t="s">
        <v>96</v>
      </c>
      <c r="Z55" s="42">
        <v>2.1898714214869983</v>
      </c>
      <c r="AI55">
        <f t="shared" si="5"/>
        <v>349.38</v>
      </c>
      <c r="AJ55">
        <v>1</v>
      </c>
      <c r="AK55">
        <f t="shared" si="6"/>
        <v>15</v>
      </c>
      <c r="AL55">
        <f t="shared" si="7"/>
        <v>0</v>
      </c>
      <c r="AM55">
        <f t="shared" si="8"/>
        <v>0</v>
      </c>
      <c r="AN55">
        <f t="shared" si="9"/>
        <v>425.45094435056308</v>
      </c>
      <c r="AQ55" s="42">
        <f t="array" ref="AQ55:AQ58">MMULT(AQ45:AT48,AQ50:AQ53)</f>
        <v>235.40853524043723</v>
      </c>
    </row>
    <row r="56" spans="4:46">
      <c r="D56">
        <v>218.05199999999999</v>
      </c>
      <c r="E56">
        <v>1</v>
      </c>
      <c r="F56">
        <v>1</v>
      </c>
      <c r="G56">
        <v>0</v>
      </c>
      <c r="H56">
        <f t="shared" si="0"/>
        <v>40.022679609588522</v>
      </c>
      <c r="K56" s="42">
        <v>229.34818704747272</v>
      </c>
      <c r="S56">
        <f t="shared" si="1"/>
        <v>218.05199999999999</v>
      </c>
      <c r="T56">
        <v>1</v>
      </c>
      <c r="U56">
        <f t="shared" si="2"/>
        <v>1</v>
      </c>
      <c r="V56">
        <f t="shared" si="3"/>
        <v>0</v>
      </c>
      <c r="W56">
        <f t="shared" si="4"/>
        <v>14309.624631817254</v>
      </c>
      <c r="Z56" s="42">
        <v>17.407815646933514</v>
      </c>
      <c r="AI56">
        <f t="shared" si="5"/>
        <v>218.05199999999999</v>
      </c>
      <c r="AJ56">
        <v>1</v>
      </c>
      <c r="AK56">
        <f t="shared" si="6"/>
        <v>1</v>
      </c>
      <c r="AL56">
        <f t="shared" si="7"/>
        <v>0</v>
      </c>
      <c r="AM56">
        <f t="shared" si="8"/>
        <v>0</v>
      </c>
      <c r="AN56">
        <f t="shared" si="9"/>
        <v>693.25470153795834</v>
      </c>
      <c r="AP56" s="39" t="s">
        <v>96</v>
      </c>
      <c r="AQ56" s="42">
        <v>8.9731951330010418</v>
      </c>
    </row>
    <row r="57" spans="4:46">
      <c r="D57">
        <v>387.39600000000002</v>
      </c>
      <c r="E57">
        <v>1</v>
      </c>
      <c r="F57">
        <v>12</v>
      </c>
      <c r="G57">
        <v>0</v>
      </c>
      <c r="H57">
        <f t="shared" si="0"/>
        <v>1785.760397526429</v>
      </c>
      <c r="S57">
        <f t="shared" si="1"/>
        <v>387.39600000000002</v>
      </c>
      <c r="T57">
        <v>1</v>
      </c>
      <c r="U57">
        <f t="shared" si="2"/>
        <v>12</v>
      </c>
      <c r="V57">
        <f t="shared" si="3"/>
        <v>0</v>
      </c>
      <c r="W57">
        <f t="shared" si="4"/>
        <v>657.0287009096055</v>
      </c>
      <c r="AI57">
        <f t="shared" si="5"/>
        <v>387.39600000000002</v>
      </c>
      <c r="AJ57">
        <v>1</v>
      </c>
      <c r="AK57">
        <f t="shared" si="6"/>
        <v>12</v>
      </c>
      <c r="AL57">
        <f t="shared" si="7"/>
        <v>0</v>
      </c>
      <c r="AM57">
        <f t="shared" si="8"/>
        <v>0</v>
      </c>
      <c r="AN57">
        <f t="shared" si="9"/>
        <v>1963.2983955226682</v>
      </c>
      <c r="AQ57" s="42">
        <v>167.6933709435616</v>
      </c>
    </row>
    <row r="58" spans="4:46">
      <c r="D58">
        <v>346.35599999999999</v>
      </c>
      <c r="E58">
        <v>1</v>
      </c>
      <c r="F58">
        <v>9</v>
      </c>
      <c r="G58">
        <v>0</v>
      </c>
      <c r="H58">
        <f t="shared" si="0"/>
        <v>1414.0137144577575</v>
      </c>
      <c r="S58">
        <f t="shared" si="1"/>
        <v>346.35599999999999</v>
      </c>
      <c r="T58">
        <v>1</v>
      </c>
      <c r="U58">
        <f t="shared" si="2"/>
        <v>9</v>
      </c>
      <c r="V58">
        <f t="shared" si="3"/>
        <v>0</v>
      </c>
      <c r="W58">
        <f t="shared" si="4"/>
        <v>78.106967631084743</v>
      </c>
      <c r="AI58">
        <f t="shared" si="5"/>
        <v>346.35599999999999</v>
      </c>
      <c r="AJ58">
        <v>1</v>
      </c>
      <c r="AK58">
        <f t="shared" si="6"/>
        <v>9</v>
      </c>
      <c r="AL58">
        <f t="shared" si="7"/>
        <v>0</v>
      </c>
      <c r="AM58">
        <f t="shared" si="8"/>
        <v>0</v>
      </c>
      <c r="AN58">
        <f t="shared" si="9"/>
        <v>911.35812467478422</v>
      </c>
      <c r="AQ58" s="42">
        <v>5.7292365219791463</v>
      </c>
    </row>
    <row r="59" spans="4:46">
      <c r="D59">
        <v>256.01400000000001</v>
      </c>
      <c r="E59">
        <v>1</v>
      </c>
      <c r="F59">
        <v>5</v>
      </c>
      <c r="G59">
        <v>0</v>
      </c>
      <c r="H59">
        <f t="shared" si="0"/>
        <v>17.851800592051653</v>
      </c>
      <c r="K59" s="40">
        <f t="array" ref="K59:M61">N51^2*(K45:M47)</f>
        <v>124.91899396123883</v>
      </c>
      <c r="L59" s="50">
        <v>-6.6007624906193776</v>
      </c>
      <c r="M59" s="41">
        <v>-58.647338555420276</v>
      </c>
      <c r="S59">
        <f t="shared" si="1"/>
        <v>256.01400000000001</v>
      </c>
      <c r="T59">
        <v>1</v>
      </c>
      <c r="U59">
        <f t="shared" si="2"/>
        <v>5</v>
      </c>
      <c r="V59">
        <f t="shared" si="3"/>
        <v>0</v>
      </c>
      <c r="W59">
        <f t="shared" si="4"/>
        <v>8175.8358883644787</v>
      </c>
      <c r="Z59" s="40">
        <f t="array" ref="Z59:AB61">AC51^2*(Z45:AB47)</f>
        <v>151.14896512698377</v>
      </c>
      <c r="AA59" s="50">
        <v>-10.245092589974718</v>
      </c>
      <c r="AB59" s="41">
        <v>-0.69762164333157906</v>
      </c>
      <c r="AI59">
        <f t="shared" si="5"/>
        <v>256.01400000000001</v>
      </c>
      <c r="AJ59">
        <v>1</v>
      </c>
      <c r="AK59">
        <f t="shared" si="6"/>
        <v>5</v>
      </c>
      <c r="AL59">
        <f t="shared" si="7"/>
        <v>0</v>
      </c>
      <c r="AM59">
        <f t="shared" si="8"/>
        <v>0</v>
      </c>
      <c r="AN59">
        <f t="shared" si="9"/>
        <v>588.57238939309104</v>
      </c>
    </row>
    <row r="60" spans="4:46">
      <c r="D60">
        <v>251.04599999999999</v>
      </c>
      <c r="E60">
        <v>1</v>
      </c>
      <c r="F60">
        <v>3</v>
      </c>
      <c r="G60">
        <v>0</v>
      </c>
      <c r="H60">
        <f t="shared" si="0"/>
        <v>226.9121794146632</v>
      </c>
      <c r="J60" s="38" t="s">
        <v>128</v>
      </c>
      <c r="K60" s="40">
        <v>-6.6007624906193758</v>
      </c>
      <c r="L60" s="50">
        <v>0.58156497714708144</v>
      </c>
      <c r="M60" s="41">
        <v>0.76185012006267749</v>
      </c>
      <c r="S60">
        <f t="shared" si="1"/>
        <v>251.04599999999999</v>
      </c>
      <c r="T60">
        <v>1</v>
      </c>
      <c r="U60">
        <f t="shared" si="2"/>
        <v>3</v>
      </c>
      <c r="V60">
        <f t="shared" si="3"/>
        <v>0</v>
      </c>
      <c r="W60">
        <f t="shared" si="4"/>
        <v>8282.5627461443437</v>
      </c>
      <c r="Y60" s="38" t="s">
        <v>128</v>
      </c>
      <c r="Z60" s="40">
        <v>-10.245092589974714</v>
      </c>
      <c r="AA60" s="50">
        <v>1.210833728920391</v>
      </c>
      <c r="AB60" s="41">
        <v>-0.46912093974137364</v>
      </c>
      <c r="AI60">
        <f t="shared" si="5"/>
        <v>251.04599999999999</v>
      </c>
      <c r="AJ60">
        <v>1</v>
      </c>
      <c r="AK60">
        <f t="shared" si="6"/>
        <v>3</v>
      </c>
      <c r="AL60">
        <f t="shared" si="7"/>
        <v>0</v>
      </c>
      <c r="AM60">
        <f t="shared" si="8"/>
        <v>0</v>
      </c>
      <c r="AN60">
        <f t="shared" si="9"/>
        <v>127.28624612288625</v>
      </c>
      <c r="AQ60" s="40">
        <f t="array" ref="AQ60:AT63">AT52^2*(AQ45:AT48)</f>
        <v>184.07443993791517</v>
      </c>
      <c r="AR60" s="50">
        <v>-12.47682826691752</v>
      </c>
      <c r="AS60" s="50">
        <v>-184.07443993791526</v>
      </c>
      <c r="AT60" s="41">
        <v>12.476828266917526</v>
      </c>
    </row>
    <row r="61" spans="4:46">
      <c r="D61">
        <v>273.34800000000001</v>
      </c>
      <c r="E61">
        <v>1</v>
      </c>
      <c r="F61">
        <v>7</v>
      </c>
      <c r="G61">
        <v>0</v>
      </c>
      <c r="H61">
        <f t="shared" si="0"/>
        <v>124.27528880348412</v>
      </c>
      <c r="K61" s="40">
        <v>-58.647338555420291</v>
      </c>
      <c r="L61" s="50">
        <v>0.76185012006267994</v>
      </c>
      <c r="M61" s="41">
        <v>90.998635104158097</v>
      </c>
      <c r="S61">
        <f t="shared" si="1"/>
        <v>273.34800000000001</v>
      </c>
      <c r="T61">
        <v>1</v>
      </c>
      <c r="U61">
        <f t="shared" si="2"/>
        <v>7</v>
      </c>
      <c r="V61">
        <f t="shared" si="3"/>
        <v>0</v>
      </c>
      <c r="W61">
        <f t="shared" si="4"/>
        <v>6000.9922798380476</v>
      </c>
      <c r="Z61" s="40">
        <v>-0.69762164333158039</v>
      </c>
      <c r="AA61" s="50">
        <v>-0.46912093974137353</v>
      </c>
      <c r="AB61" s="41">
        <v>1.0184573033717039</v>
      </c>
      <c r="AI61">
        <f t="shared" si="5"/>
        <v>273.34800000000001</v>
      </c>
      <c r="AJ61">
        <v>1</v>
      </c>
      <c r="AK61">
        <f t="shared" si="6"/>
        <v>7</v>
      </c>
      <c r="AL61">
        <f t="shared" si="7"/>
        <v>0</v>
      </c>
      <c r="AM61">
        <f t="shared" si="8"/>
        <v>0</v>
      </c>
      <c r="AN61">
        <f t="shared" si="9"/>
        <v>618.66121268444567</v>
      </c>
      <c r="AP61" s="38" t="s">
        <v>128</v>
      </c>
      <c r="AQ61" s="40">
        <v>-12.476828266917513</v>
      </c>
      <c r="AR61" s="50">
        <v>1.0992800235169615</v>
      </c>
      <c r="AS61" s="50">
        <v>12.476828266917517</v>
      </c>
      <c r="AT61" s="41">
        <v>-1.099280023516962</v>
      </c>
    </row>
    <row r="62" spans="4:46">
      <c r="D62">
        <v>397.71</v>
      </c>
      <c r="E62">
        <v>1</v>
      </c>
      <c r="F62">
        <v>17</v>
      </c>
      <c r="G62">
        <v>0</v>
      </c>
      <c r="H62">
        <f t="shared" si="0"/>
        <v>65.118454240499517</v>
      </c>
      <c r="S62">
        <f t="shared" si="1"/>
        <v>397.71</v>
      </c>
      <c r="T62">
        <v>1</v>
      </c>
      <c r="U62">
        <f t="shared" si="2"/>
        <v>17</v>
      </c>
      <c r="V62">
        <f t="shared" si="3"/>
        <v>0</v>
      </c>
      <c r="W62">
        <f t="shared" si="4"/>
        <v>624.860707110249</v>
      </c>
      <c r="AI62">
        <f t="shared" si="5"/>
        <v>397.71</v>
      </c>
      <c r="AJ62">
        <v>1</v>
      </c>
      <c r="AK62">
        <f t="shared" si="6"/>
        <v>17</v>
      </c>
      <c r="AL62">
        <f t="shared" si="7"/>
        <v>0</v>
      </c>
      <c r="AM62">
        <f t="shared" si="8"/>
        <v>0</v>
      </c>
      <c r="AN62">
        <f t="shared" si="9"/>
        <v>95.201927308363693</v>
      </c>
      <c r="AQ62" s="40">
        <v>-184.07443993791526</v>
      </c>
      <c r="AR62" s="50">
        <v>12.476828266917526</v>
      </c>
      <c r="AS62" s="50">
        <v>308.44486858438614</v>
      </c>
      <c r="AT62" s="41">
        <v>-21.48085987645436</v>
      </c>
    </row>
    <row r="63" spans="4:46">
      <c r="D63">
        <v>392.202</v>
      </c>
      <c r="E63">
        <v>1</v>
      </c>
      <c r="F63">
        <v>19</v>
      </c>
      <c r="G63">
        <v>0</v>
      </c>
      <c r="H63">
        <f t="shared" si="0"/>
        <v>1431.4376016891629</v>
      </c>
      <c r="S63">
        <f t="shared" si="1"/>
        <v>392.202</v>
      </c>
      <c r="T63">
        <v>1</v>
      </c>
      <c r="U63">
        <f t="shared" si="2"/>
        <v>19</v>
      </c>
      <c r="V63">
        <f t="shared" si="3"/>
        <v>0</v>
      </c>
      <c r="W63">
        <f t="shared" si="4"/>
        <v>228.29611825117618</v>
      </c>
      <c r="AI63">
        <f t="shared" si="5"/>
        <v>392.202</v>
      </c>
      <c r="AJ63">
        <v>1</v>
      </c>
      <c r="AK63">
        <f t="shared" si="6"/>
        <v>19</v>
      </c>
      <c r="AL63">
        <f t="shared" si="7"/>
        <v>0</v>
      </c>
      <c r="AM63">
        <f t="shared" si="8"/>
        <v>0</v>
      </c>
      <c r="AN63">
        <f t="shared" si="9"/>
        <v>187.61445943065382</v>
      </c>
      <c r="AQ63" s="40">
        <v>12.476828266917519</v>
      </c>
      <c r="AR63" s="50">
        <v>-1.099280023516962</v>
      </c>
      <c r="AS63" s="50">
        <v>-21.480859876454346</v>
      </c>
      <c r="AT63" s="41">
        <v>1.9960959208811881</v>
      </c>
    </row>
    <row r="64" spans="4:46">
      <c r="D64">
        <v>394.25400000000002</v>
      </c>
      <c r="E64">
        <v>1</v>
      </c>
      <c r="F64">
        <v>15</v>
      </c>
      <c r="G64">
        <v>0</v>
      </c>
      <c r="H64">
        <f t="shared" si="0"/>
        <v>162.08200105091848</v>
      </c>
      <c r="J64" s="38" t="s">
        <v>116</v>
      </c>
      <c r="K64" s="40">
        <v>0</v>
      </c>
      <c r="L64" s="50">
        <v>0</v>
      </c>
      <c r="M64" s="41">
        <v>1</v>
      </c>
      <c r="O64" s="38" t="s">
        <v>117</v>
      </c>
      <c r="P64" s="42">
        <v>0</v>
      </c>
      <c r="S64">
        <f t="shared" si="1"/>
        <v>394.25400000000002</v>
      </c>
      <c r="T64">
        <v>1</v>
      </c>
      <c r="U64">
        <f t="shared" si="2"/>
        <v>15</v>
      </c>
      <c r="V64">
        <f t="shared" si="3"/>
        <v>0</v>
      </c>
      <c r="W64">
        <f t="shared" si="4"/>
        <v>671.89600297969844</v>
      </c>
      <c r="Y64" s="38" t="s">
        <v>116</v>
      </c>
      <c r="Z64" s="40">
        <v>0</v>
      </c>
      <c r="AA64" s="50">
        <v>0</v>
      </c>
      <c r="AB64" s="41">
        <v>1</v>
      </c>
      <c r="AD64" s="38" t="s">
        <v>117</v>
      </c>
      <c r="AE64" s="42">
        <v>0</v>
      </c>
      <c r="AI64">
        <f t="shared" si="5"/>
        <v>394.25400000000002</v>
      </c>
      <c r="AJ64">
        <v>1</v>
      </c>
      <c r="AK64">
        <f t="shared" si="6"/>
        <v>15</v>
      </c>
      <c r="AL64">
        <f t="shared" si="7"/>
        <v>0</v>
      </c>
      <c r="AM64">
        <f t="shared" si="8"/>
        <v>0</v>
      </c>
      <c r="AN64">
        <f t="shared" si="9"/>
        <v>587.94308764314076</v>
      </c>
    </row>
    <row r="65" spans="4:48">
      <c r="D65">
        <v>285.17399999999998</v>
      </c>
      <c r="E65">
        <v>1</v>
      </c>
      <c r="F65">
        <v>6</v>
      </c>
      <c r="G65">
        <v>0</v>
      </c>
      <c r="H65">
        <f t="shared" si="0"/>
        <v>164.00616273562306</v>
      </c>
      <c r="S65">
        <f t="shared" si="1"/>
        <v>285.17399999999998</v>
      </c>
      <c r="T65">
        <v>1</v>
      </c>
      <c r="U65">
        <f t="shared" si="2"/>
        <v>6</v>
      </c>
      <c r="V65">
        <f t="shared" si="3"/>
        <v>0</v>
      </c>
      <c r="W65">
        <f t="shared" si="4"/>
        <v>4025.9279278402605</v>
      </c>
      <c r="AI65">
        <f t="shared" si="5"/>
        <v>285.17399999999998</v>
      </c>
      <c r="AJ65">
        <v>1</v>
      </c>
      <c r="AK65">
        <f t="shared" si="6"/>
        <v>6</v>
      </c>
      <c r="AL65">
        <f t="shared" si="7"/>
        <v>0</v>
      </c>
      <c r="AM65">
        <f t="shared" si="8"/>
        <v>0</v>
      </c>
      <c r="AN65">
        <f t="shared" si="9"/>
        <v>16.595080887651068</v>
      </c>
      <c r="AP65" s="38" t="s">
        <v>116</v>
      </c>
      <c r="AQ65" s="40">
        <v>0</v>
      </c>
      <c r="AR65" s="50">
        <v>0</v>
      </c>
      <c r="AS65" s="50">
        <v>1</v>
      </c>
      <c r="AT65" s="55">
        <v>0</v>
      </c>
      <c r="AU65" s="38" t="s">
        <v>117</v>
      </c>
      <c r="AV65" s="42">
        <v>0</v>
      </c>
    </row>
    <row r="66" spans="4:48">
      <c r="D66">
        <v>244.566</v>
      </c>
      <c r="E66">
        <v>1</v>
      </c>
      <c r="F66">
        <v>3</v>
      </c>
      <c r="G66">
        <v>0</v>
      </c>
      <c r="H66">
        <f t="shared" si="0"/>
        <v>73.678265575495544</v>
      </c>
      <c r="S66">
        <f t="shared" si="1"/>
        <v>244.566</v>
      </c>
      <c r="T66">
        <v>1</v>
      </c>
      <c r="U66">
        <f t="shared" si="2"/>
        <v>3</v>
      </c>
      <c r="V66">
        <f t="shared" si="3"/>
        <v>0</v>
      </c>
      <c r="W66">
        <f t="shared" si="4"/>
        <v>9504.0244221586418</v>
      </c>
      <c r="AI66">
        <f t="shared" si="5"/>
        <v>244.566</v>
      </c>
      <c r="AJ66">
        <v>1</v>
      </c>
      <c r="AK66">
        <f t="shared" si="6"/>
        <v>3</v>
      </c>
      <c r="AL66">
        <f t="shared" si="7"/>
        <v>0</v>
      </c>
      <c r="AM66">
        <f t="shared" si="8"/>
        <v>0</v>
      </c>
      <c r="AN66">
        <f t="shared" si="9"/>
        <v>315.492929610033</v>
      </c>
      <c r="AQ66" s="40">
        <v>0</v>
      </c>
      <c r="AR66" s="50">
        <v>0</v>
      </c>
      <c r="AS66" s="50">
        <v>0</v>
      </c>
      <c r="AT66" s="41">
        <v>1</v>
      </c>
      <c r="AV66" s="42">
        <v>0</v>
      </c>
    </row>
    <row r="67" spans="4:48">
      <c r="D67">
        <v>387.61200000000002</v>
      </c>
      <c r="E67">
        <v>1</v>
      </c>
      <c r="F67">
        <v>17</v>
      </c>
      <c r="G67">
        <v>0</v>
      </c>
      <c r="H67">
        <f t="shared" si="0"/>
        <v>330.06171245486297</v>
      </c>
      <c r="J67" s="38" t="s">
        <v>118</v>
      </c>
      <c r="K67">
        <f t="array" ref="K67">MMULT(K64:M64,K54:K56)</f>
        <v>229.34818704747272</v>
      </c>
      <c r="S67">
        <f t="shared" si="1"/>
        <v>387.61200000000002</v>
      </c>
      <c r="T67">
        <v>1</v>
      </c>
      <c r="U67">
        <f t="shared" si="2"/>
        <v>17</v>
      </c>
      <c r="V67">
        <f t="shared" si="3"/>
        <v>0</v>
      </c>
      <c r="W67">
        <f t="shared" si="4"/>
        <v>221.98657742945252</v>
      </c>
      <c r="Y67" s="38" t="s">
        <v>118</v>
      </c>
      <c r="Z67">
        <f t="array" ref="Z67">MMULT(Z64:AB64,Z54:Z56)</f>
        <v>17.407815646933514</v>
      </c>
      <c r="AI67">
        <f t="shared" si="5"/>
        <v>387.61200000000002</v>
      </c>
      <c r="AJ67">
        <v>1</v>
      </c>
      <c r="AK67">
        <f t="shared" si="6"/>
        <v>17</v>
      </c>
      <c r="AL67">
        <f t="shared" si="7"/>
        <v>0</v>
      </c>
      <c r="AM67">
        <f t="shared" si="8"/>
        <v>0</v>
      </c>
      <c r="AN67">
        <f t="shared" si="9"/>
        <v>0.11618042774807516</v>
      </c>
    </row>
    <row r="68" spans="4:48" ht="17.25">
      <c r="D68">
        <v>253.31399999999999</v>
      </c>
      <c r="E68">
        <v>1</v>
      </c>
      <c r="F68">
        <v>4</v>
      </c>
      <c r="G68">
        <v>0</v>
      </c>
      <c r="H68">
        <f t="shared" si="0"/>
        <v>27.073630227882802</v>
      </c>
      <c r="J68" s="51" t="s">
        <v>120</v>
      </c>
      <c r="K68">
        <f t="array" ref="K68">MINVERSE(MMULT(MMULT(K64:M64,K59:M61),TRANSPOSE(K64:M64)))</f>
        <v>1.098917581407005E-2</v>
      </c>
      <c r="S68">
        <f t="shared" si="1"/>
        <v>253.31399999999999</v>
      </c>
      <c r="T68">
        <v>1</v>
      </c>
      <c r="U68">
        <f t="shared" si="2"/>
        <v>4</v>
      </c>
      <c r="V68">
        <f t="shared" si="3"/>
        <v>0</v>
      </c>
      <c r="W68">
        <f t="shared" si="4"/>
        <v>8268.3481072882732</v>
      </c>
      <c r="Y68" s="51" t="s">
        <v>120</v>
      </c>
      <c r="Z68">
        <f t="array" ref="Z68">MINVERSE(MMULT(MMULT(Z64:AB64,Z59:AB61),TRANSPOSE(Z64:AB64)))</f>
        <v>0.98187719474287316</v>
      </c>
      <c r="AI68">
        <f t="shared" si="5"/>
        <v>253.31399999999999</v>
      </c>
      <c r="AJ68">
        <v>1</v>
      </c>
      <c r="AK68">
        <f t="shared" si="6"/>
        <v>4</v>
      </c>
      <c r="AL68">
        <f t="shared" si="7"/>
        <v>0</v>
      </c>
      <c r="AM68">
        <f t="shared" si="8"/>
        <v>0</v>
      </c>
      <c r="AN68">
        <f t="shared" si="9"/>
        <v>323.54352869751938</v>
      </c>
      <c r="AP68" s="38" t="s">
        <v>118</v>
      </c>
      <c r="AQ68" s="42">
        <f t="array" ref="AQ68:AQ69">MMULT(AQ65:AT66,AQ55:AQ58)-AV65:AV66</f>
        <v>167.6933709435616</v>
      </c>
    </row>
    <row r="69" spans="4:48">
      <c r="D69">
        <v>333.61200000000002</v>
      </c>
      <c r="E69">
        <v>1</v>
      </c>
      <c r="F69">
        <v>10</v>
      </c>
      <c r="G69">
        <v>0</v>
      </c>
      <c r="H69">
        <f t="shared" si="0"/>
        <v>162.07840986542132</v>
      </c>
      <c r="J69" s="38" t="s">
        <v>118</v>
      </c>
      <c r="K69">
        <f t="array" ref="K69">MMULT(K64:M64,K54:K56)</f>
        <v>229.34818704747272</v>
      </c>
      <c r="S69">
        <f t="shared" si="1"/>
        <v>333.61200000000002</v>
      </c>
      <c r="T69">
        <v>1</v>
      </c>
      <c r="U69">
        <f t="shared" si="2"/>
        <v>10</v>
      </c>
      <c r="V69">
        <f t="shared" si="3"/>
        <v>0</v>
      </c>
      <c r="W69">
        <f t="shared" si="4"/>
        <v>565.09305825992169</v>
      </c>
      <c r="Y69" s="38" t="s">
        <v>118</v>
      </c>
      <c r="Z69">
        <f t="array" ref="Z69">MMULT(Z64:AB64,Z54:Z56)</f>
        <v>17.407815646933514</v>
      </c>
      <c r="AI69">
        <f t="shared" si="5"/>
        <v>333.61200000000002</v>
      </c>
      <c r="AJ69">
        <v>1</v>
      </c>
      <c r="AK69">
        <f t="shared" si="6"/>
        <v>10</v>
      </c>
      <c r="AL69">
        <f t="shared" si="7"/>
        <v>0</v>
      </c>
      <c r="AM69">
        <f t="shared" si="8"/>
        <v>0</v>
      </c>
      <c r="AN69">
        <f t="shared" si="9"/>
        <v>71.766539787086231</v>
      </c>
      <c r="AQ69" s="42">
        <v>5.7292365219791463</v>
      </c>
    </row>
    <row r="70" spans="4:48">
      <c r="D70">
        <v>292.95</v>
      </c>
      <c r="E70">
        <v>1</v>
      </c>
      <c r="F70">
        <v>4</v>
      </c>
      <c r="G70">
        <v>0</v>
      </c>
      <c r="H70">
        <f t="shared" ref="H70:H94" si="10">(D70-K$54-K$55*F70-K$56*G70)^2</f>
        <v>2010.5567865182222</v>
      </c>
      <c r="S70">
        <f t="shared" ref="S70:S94" si="11">D70</f>
        <v>292.95</v>
      </c>
      <c r="T70">
        <v>1</v>
      </c>
      <c r="U70">
        <f t="shared" ref="U70:U94" si="12">F70</f>
        <v>4</v>
      </c>
      <c r="V70">
        <f t="shared" ref="V70:V94" si="13">F70*G70</f>
        <v>0</v>
      </c>
      <c r="W70">
        <f t="shared" ref="W70:W94" si="14">(S70-Z$54-Z$55*U70-Z$56*V70)^2</f>
        <v>2631.1213736766967</v>
      </c>
      <c r="AI70">
        <f t="shared" ref="AI70:AI94" si="15">S70</f>
        <v>292.95</v>
      </c>
      <c r="AJ70">
        <v>1</v>
      </c>
      <c r="AK70">
        <f t="shared" ref="AK70:AK94" si="16">U70</f>
        <v>4</v>
      </c>
      <c r="AL70">
        <f t="shared" ref="AL70:AL94" si="17">G70</f>
        <v>0</v>
      </c>
      <c r="AM70">
        <f t="shared" ref="AM70:AM94" si="18">AK70*AL70</f>
        <v>0</v>
      </c>
      <c r="AN70">
        <f t="shared" ref="AN70:AN94" si="19">(AI70-AQ$55-AQ$56*AK70-AQ$57*AL70-AQ$58*AM70)^2</f>
        <v>468.66552878454405</v>
      </c>
    </row>
    <row r="71" spans="4:48">
      <c r="D71">
        <v>374.92200000000003</v>
      </c>
      <c r="E71">
        <v>1</v>
      </c>
      <c r="F71">
        <v>11</v>
      </c>
      <c r="G71">
        <v>0</v>
      </c>
      <c r="H71">
        <f t="shared" si="10"/>
        <v>1756.6685641783679</v>
      </c>
      <c r="J71" s="38" t="s">
        <v>129</v>
      </c>
      <c r="K71" s="46">
        <f>K67*K68*K69</f>
        <v>578.03714134563984</v>
      </c>
      <c r="S71">
        <f t="shared" si="11"/>
        <v>374.92200000000003</v>
      </c>
      <c r="T71">
        <v>1</v>
      </c>
      <c r="U71">
        <f t="shared" si="12"/>
        <v>11</v>
      </c>
      <c r="V71">
        <f t="shared" si="13"/>
        <v>0</v>
      </c>
      <c r="W71">
        <f t="shared" si="14"/>
        <v>235.57468766356882</v>
      </c>
      <c r="Y71" s="38" t="s">
        <v>129</v>
      </c>
      <c r="Z71" s="46">
        <f>Z67*Z68*Z69</f>
        <v>297.5402548485888</v>
      </c>
      <c r="AI71">
        <f t="shared" si="15"/>
        <v>374.92200000000003</v>
      </c>
      <c r="AJ71">
        <v>1</v>
      </c>
      <c r="AK71">
        <f t="shared" si="16"/>
        <v>11</v>
      </c>
      <c r="AL71">
        <f t="shared" si="17"/>
        <v>0</v>
      </c>
      <c r="AM71">
        <f t="shared" si="18"/>
        <v>0</v>
      </c>
      <c r="AN71">
        <f t="shared" si="19"/>
        <v>1665.3188421926463</v>
      </c>
    </row>
    <row r="72" spans="4:48" ht="17.25">
      <c r="D72">
        <v>387.45</v>
      </c>
      <c r="E72">
        <v>1</v>
      </c>
      <c r="F72">
        <v>10</v>
      </c>
      <c r="G72">
        <v>0</v>
      </c>
      <c r="H72">
        <f t="shared" si="10"/>
        <v>4431.4320165118979</v>
      </c>
      <c r="S72">
        <f t="shared" si="11"/>
        <v>387.45</v>
      </c>
      <c r="T72">
        <v>1</v>
      </c>
      <c r="U72">
        <f t="shared" si="12"/>
        <v>10</v>
      </c>
      <c r="V72">
        <f t="shared" si="13"/>
        <v>0</v>
      </c>
      <c r="W72">
        <f t="shared" si="14"/>
        <v>903.98323378088674</v>
      </c>
      <c r="AI72">
        <f t="shared" si="15"/>
        <v>387.45</v>
      </c>
      <c r="AJ72">
        <v>1</v>
      </c>
      <c r="AK72">
        <f t="shared" si="16"/>
        <v>10</v>
      </c>
      <c r="AL72">
        <f t="shared" si="17"/>
        <v>0</v>
      </c>
      <c r="AM72">
        <f t="shared" si="18"/>
        <v>0</v>
      </c>
      <c r="AN72">
        <f t="shared" si="19"/>
        <v>3882.4754638275635</v>
      </c>
      <c r="AP72" s="51" t="s">
        <v>120</v>
      </c>
      <c r="AQ72" s="42">
        <f t="array" ref="AQ72:AR73">MINVERSE(MMULT(MMULT(AQ65:AT66,AQ60:AT63),TRANSPOSE(AQ65:AT66)))</f>
        <v>1.2939966124972077E-2</v>
      </c>
      <c r="AR72">
        <v>0.13925262620339585</v>
      </c>
    </row>
    <row r="73" spans="4:48">
      <c r="D73">
        <v>307.52999999999997</v>
      </c>
      <c r="E73">
        <v>1</v>
      </c>
      <c r="F73">
        <v>7</v>
      </c>
      <c r="G73">
        <v>0</v>
      </c>
      <c r="H73">
        <f t="shared" si="10"/>
        <v>530.57055956178738</v>
      </c>
      <c r="S73">
        <f t="shared" si="11"/>
        <v>307.52999999999997</v>
      </c>
      <c r="T73">
        <v>1</v>
      </c>
      <c r="U73">
        <f t="shared" si="12"/>
        <v>7</v>
      </c>
      <c r="V73">
        <f t="shared" si="13"/>
        <v>0</v>
      </c>
      <c r="W73">
        <f t="shared" si="14"/>
        <v>1873.510871428479</v>
      </c>
      <c r="AI73">
        <f t="shared" si="15"/>
        <v>307.52999999999997</v>
      </c>
      <c r="AJ73">
        <v>1</v>
      </c>
      <c r="AK73">
        <f t="shared" si="16"/>
        <v>7</v>
      </c>
      <c r="AL73">
        <f t="shared" si="17"/>
        <v>0</v>
      </c>
      <c r="AM73">
        <f t="shared" si="18"/>
        <v>0</v>
      </c>
      <c r="AN73">
        <f t="shared" si="19"/>
        <v>86.659320999812422</v>
      </c>
      <c r="AQ73" s="42">
        <v>0.13925262620339574</v>
      </c>
      <c r="AR73">
        <v>1.9995362493108311</v>
      </c>
    </row>
    <row r="74" spans="4:48">
      <c r="D74">
        <v>268.97399999999999</v>
      </c>
      <c r="E74">
        <v>1</v>
      </c>
      <c r="F74">
        <v>3</v>
      </c>
      <c r="G74">
        <v>0</v>
      </c>
      <c r="H74">
        <f t="shared" si="10"/>
        <v>1088.4459650363606</v>
      </c>
      <c r="S74">
        <f t="shared" si="11"/>
        <v>268.97399999999999</v>
      </c>
      <c r="T74">
        <v>1</v>
      </c>
      <c r="U74">
        <f t="shared" si="12"/>
        <v>3</v>
      </c>
      <c r="V74">
        <f t="shared" si="13"/>
        <v>0</v>
      </c>
      <c r="W74">
        <f t="shared" si="14"/>
        <v>5340.7720665047846</v>
      </c>
      <c r="AI74">
        <f t="shared" si="15"/>
        <v>268.97399999999999</v>
      </c>
      <c r="AJ74">
        <v>1</v>
      </c>
      <c r="AK74">
        <f t="shared" si="16"/>
        <v>3</v>
      </c>
      <c r="AL74">
        <f t="shared" si="17"/>
        <v>0</v>
      </c>
      <c r="AM74">
        <f t="shared" si="18"/>
        <v>0</v>
      </c>
      <c r="AN74">
        <f t="shared" si="19"/>
        <v>44.167712475112509</v>
      </c>
    </row>
    <row r="75" spans="4:48">
      <c r="D75">
        <v>406.72799999999904</v>
      </c>
      <c r="E75">
        <v>1</v>
      </c>
      <c r="F75">
        <v>20</v>
      </c>
      <c r="G75">
        <v>0</v>
      </c>
      <c r="H75">
        <f t="shared" si="10"/>
        <v>1255.7608408993947</v>
      </c>
      <c r="S75">
        <f t="shared" si="11"/>
        <v>406.72799999999904</v>
      </c>
      <c r="T75">
        <v>1</v>
      </c>
      <c r="U75">
        <f t="shared" si="12"/>
        <v>20</v>
      </c>
      <c r="V75">
        <f t="shared" si="13"/>
        <v>0</v>
      </c>
      <c r="W75">
        <f t="shared" si="14"/>
        <v>753.26094412800364</v>
      </c>
      <c r="AI75">
        <f t="shared" si="15"/>
        <v>406.72799999999904</v>
      </c>
      <c r="AJ75">
        <v>1</v>
      </c>
      <c r="AK75">
        <f t="shared" si="16"/>
        <v>20</v>
      </c>
      <c r="AL75">
        <f t="shared" si="17"/>
        <v>0</v>
      </c>
      <c r="AM75">
        <f t="shared" si="18"/>
        <v>0</v>
      </c>
      <c r="AN75">
        <f t="shared" si="19"/>
        <v>66.331868714433398</v>
      </c>
      <c r="AP75" s="38" t="s">
        <v>118</v>
      </c>
      <c r="AQ75">
        <f t="array" ref="AQ75:AR75">TRANSPOSE(AQ68:AQ69)</f>
        <v>167.6933709435616</v>
      </c>
      <c r="AR75">
        <v>5.7292365219791463</v>
      </c>
    </row>
    <row r="76" spans="4:48">
      <c r="D76">
        <v>363.20400000000001</v>
      </c>
      <c r="E76">
        <v>1</v>
      </c>
      <c r="F76">
        <v>16</v>
      </c>
      <c r="G76">
        <v>0</v>
      </c>
      <c r="H76">
        <f t="shared" si="10"/>
        <v>927.03374358672966</v>
      </c>
      <c r="S76">
        <f t="shared" si="11"/>
        <v>363.20400000000001</v>
      </c>
      <c r="T76">
        <v>1</v>
      </c>
      <c r="U76">
        <f t="shared" si="12"/>
        <v>16</v>
      </c>
      <c r="V76">
        <f t="shared" si="13"/>
        <v>0</v>
      </c>
      <c r="W76">
        <f t="shared" si="14"/>
        <v>53.566510798335656</v>
      </c>
      <c r="AI76">
        <f t="shared" si="15"/>
        <v>363.20400000000001</v>
      </c>
      <c r="AJ76">
        <v>1</v>
      </c>
      <c r="AK76">
        <f t="shared" si="16"/>
        <v>16</v>
      </c>
      <c r="AL76">
        <f t="shared" si="17"/>
        <v>0</v>
      </c>
      <c r="AM76">
        <f t="shared" si="18"/>
        <v>0</v>
      </c>
      <c r="AN76">
        <f t="shared" si="19"/>
        <v>248.87136540685358</v>
      </c>
    </row>
    <row r="77" spans="4:48">
      <c r="D77">
        <v>377.40600000000001</v>
      </c>
      <c r="E77">
        <v>1</v>
      </c>
      <c r="F77">
        <v>17</v>
      </c>
      <c r="G77">
        <v>0</v>
      </c>
      <c r="H77">
        <f t="shared" si="10"/>
        <v>805.06121240414109</v>
      </c>
      <c r="S77">
        <f t="shared" si="11"/>
        <v>377.40600000000001</v>
      </c>
      <c r="T77">
        <v>1</v>
      </c>
      <c r="U77">
        <f t="shared" si="12"/>
        <v>17</v>
      </c>
      <c r="V77">
        <f t="shared" si="13"/>
        <v>0</v>
      </c>
      <c r="W77">
        <f t="shared" si="14"/>
        <v>22.026257527468644</v>
      </c>
      <c r="AI77">
        <f t="shared" si="15"/>
        <v>377.40600000000001</v>
      </c>
      <c r="AJ77">
        <v>1</v>
      </c>
      <c r="AK77">
        <f t="shared" si="16"/>
        <v>17</v>
      </c>
      <c r="AL77">
        <f t="shared" si="17"/>
        <v>0</v>
      </c>
      <c r="AM77">
        <f t="shared" si="18"/>
        <v>0</v>
      </c>
      <c r="AN77">
        <f t="shared" si="19"/>
        <v>111.23609768744623</v>
      </c>
      <c r="AP77" s="38" t="s">
        <v>132</v>
      </c>
      <c r="AQ77" s="46">
        <f t="array" ref="AQ77">MMULT(MMULT(AQ75:AR75,AQ72:AR73),AQ68:AQ69)</f>
        <v>697.09403966790137</v>
      </c>
    </row>
    <row r="78" spans="4:48">
      <c r="D78">
        <v>368.87400000000002</v>
      </c>
      <c r="E78">
        <v>1</v>
      </c>
      <c r="F78">
        <v>14</v>
      </c>
      <c r="G78">
        <v>0</v>
      </c>
      <c r="H78">
        <f t="shared" si="10"/>
        <v>0.27090489411968371</v>
      </c>
      <c r="S78">
        <f t="shared" si="11"/>
        <v>368.87400000000002</v>
      </c>
      <c r="T78">
        <v>1</v>
      </c>
      <c r="U78">
        <f t="shared" si="12"/>
        <v>14</v>
      </c>
      <c r="V78">
        <f t="shared" si="13"/>
        <v>0</v>
      </c>
      <c r="W78">
        <f t="shared" si="14"/>
        <v>7.4574229388008444</v>
      </c>
      <c r="AI78">
        <f t="shared" si="15"/>
        <v>368.87400000000002</v>
      </c>
      <c r="AJ78">
        <v>1</v>
      </c>
      <c r="AK78">
        <f t="shared" si="16"/>
        <v>14</v>
      </c>
      <c r="AL78">
        <f t="shared" si="17"/>
        <v>0</v>
      </c>
      <c r="AM78">
        <f t="shared" si="18"/>
        <v>0</v>
      </c>
      <c r="AN78">
        <f t="shared" si="19"/>
        <v>61.477092370694706</v>
      </c>
      <c r="AP78" s="38" t="s">
        <v>133</v>
      </c>
      <c r="AQ78">
        <v>2</v>
      </c>
      <c r="AR78" t="s">
        <v>134</v>
      </c>
    </row>
    <row r="79" spans="4:48">
      <c r="D79">
        <v>401.274</v>
      </c>
      <c r="E79">
        <v>1</v>
      </c>
      <c r="F79">
        <v>12</v>
      </c>
      <c r="G79">
        <v>0</v>
      </c>
      <c r="H79">
        <f t="shared" si="10"/>
        <v>3151.2794998788718</v>
      </c>
      <c r="S79">
        <f t="shared" si="11"/>
        <v>401.274</v>
      </c>
      <c r="T79">
        <v>1</v>
      </c>
      <c r="U79">
        <f t="shared" si="12"/>
        <v>12</v>
      </c>
      <c r="V79">
        <f t="shared" si="13"/>
        <v>0</v>
      </c>
      <c r="W79">
        <f t="shared" si="14"/>
        <v>1561.085228205844</v>
      </c>
      <c r="AI79">
        <f t="shared" si="15"/>
        <v>401.274</v>
      </c>
      <c r="AJ79">
        <v>1</v>
      </c>
      <c r="AK79">
        <f t="shared" si="16"/>
        <v>12</v>
      </c>
      <c r="AL79">
        <f t="shared" si="17"/>
        <v>0</v>
      </c>
      <c r="AM79">
        <f t="shared" si="18"/>
        <v>0</v>
      </c>
      <c r="AN79">
        <f t="shared" si="19"/>
        <v>3385.7413020501681</v>
      </c>
      <c r="AP79" s="38" t="s">
        <v>135</v>
      </c>
      <c r="AQ79" s="46">
        <f>AQ77/AQ78</f>
        <v>348.54701983395069</v>
      </c>
    </row>
    <row r="80" spans="4:48">
      <c r="D80">
        <v>428.32799999999997</v>
      </c>
      <c r="E80">
        <v>1</v>
      </c>
      <c r="F80">
        <v>22</v>
      </c>
      <c r="G80">
        <v>0</v>
      </c>
      <c r="H80">
        <f t="shared" si="10"/>
        <v>1451.1116631096259</v>
      </c>
      <c r="S80">
        <f t="shared" si="11"/>
        <v>428.32799999999997</v>
      </c>
      <c r="T80">
        <v>1</v>
      </c>
      <c r="U80">
        <f t="shared" si="12"/>
        <v>22</v>
      </c>
      <c r="V80">
        <f t="shared" si="13"/>
        <v>0</v>
      </c>
      <c r="W80">
        <f t="shared" si="14"/>
        <v>1995.0387707828907</v>
      </c>
      <c r="AI80">
        <f t="shared" si="15"/>
        <v>428.32799999999997</v>
      </c>
      <c r="AJ80">
        <v>1</v>
      </c>
      <c r="AK80">
        <f t="shared" si="16"/>
        <v>22</v>
      </c>
      <c r="AL80">
        <f t="shared" si="17"/>
        <v>0</v>
      </c>
      <c r="AM80">
        <f t="shared" si="18"/>
        <v>0</v>
      </c>
      <c r="AN80">
        <f t="shared" si="19"/>
        <v>20.167537620672064</v>
      </c>
    </row>
    <row r="81" spans="4:40">
      <c r="D81">
        <v>354.94200000000001</v>
      </c>
      <c r="E81">
        <v>1</v>
      </c>
      <c r="F81">
        <v>8</v>
      </c>
      <c r="G81">
        <v>0</v>
      </c>
      <c r="H81">
        <f t="shared" si="10"/>
        <v>3400.9594405618654</v>
      </c>
      <c r="S81">
        <f t="shared" si="11"/>
        <v>354.94200000000001</v>
      </c>
      <c r="T81">
        <v>1</v>
      </c>
      <c r="U81">
        <f t="shared" si="12"/>
        <v>8</v>
      </c>
      <c r="V81">
        <f t="shared" si="13"/>
        <v>0</v>
      </c>
      <c r="W81">
        <f t="shared" si="14"/>
        <v>3.756064083863015</v>
      </c>
      <c r="AI81">
        <f t="shared" si="15"/>
        <v>354.94200000000001</v>
      </c>
      <c r="AJ81">
        <v>1</v>
      </c>
      <c r="AK81">
        <f t="shared" si="16"/>
        <v>8</v>
      </c>
      <c r="AL81">
        <f t="shared" si="17"/>
        <v>0</v>
      </c>
      <c r="AM81">
        <f t="shared" si="18"/>
        <v>0</v>
      </c>
      <c r="AN81">
        <f t="shared" si="19"/>
        <v>2279.8623073199415</v>
      </c>
    </row>
    <row r="82" spans="4:40">
      <c r="D82">
        <v>427.19399999999905</v>
      </c>
      <c r="E82">
        <v>1</v>
      </c>
      <c r="F82">
        <v>21</v>
      </c>
      <c r="G82">
        <v>0</v>
      </c>
      <c r="H82">
        <f t="shared" si="10"/>
        <v>734.36055918313639</v>
      </c>
      <c r="S82">
        <f t="shared" si="11"/>
        <v>427.19399999999905</v>
      </c>
      <c r="T82">
        <v>1</v>
      </c>
      <c r="U82">
        <f t="shared" si="12"/>
        <v>21</v>
      </c>
      <c r="V82">
        <f t="shared" si="13"/>
        <v>0</v>
      </c>
      <c r="W82">
        <f t="shared" si="14"/>
        <v>2090.4764388321732</v>
      </c>
      <c r="AI82">
        <f t="shared" si="15"/>
        <v>427.19399999999905</v>
      </c>
      <c r="AJ82">
        <v>1</v>
      </c>
      <c r="AK82">
        <f t="shared" si="16"/>
        <v>21</v>
      </c>
      <c r="AL82">
        <f t="shared" si="17"/>
        <v>0</v>
      </c>
      <c r="AM82">
        <f t="shared" si="18"/>
        <v>0</v>
      </c>
      <c r="AN82">
        <f t="shared" si="19"/>
        <v>11.211561342615893</v>
      </c>
    </row>
    <row r="83" spans="4:40">
      <c r="D83">
        <v>318.38400000000001</v>
      </c>
      <c r="E83">
        <v>1</v>
      </c>
      <c r="F83">
        <v>14</v>
      </c>
      <c r="G83">
        <v>0</v>
      </c>
      <c r="H83">
        <f t="shared" si="10"/>
        <v>2602.0696053083689</v>
      </c>
      <c r="S83">
        <f t="shared" si="11"/>
        <v>318.38400000000001</v>
      </c>
      <c r="T83">
        <v>1</v>
      </c>
      <c r="U83">
        <f t="shared" si="12"/>
        <v>14</v>
      </c>
      <c r="V83">
        <f t="shared" si="13"/>
        <v>0</v>
      </c>
      <c r="W83">
        <f t="shared" si="14"/>
        <v>2280.9384861095368</v>
      </c>
      <c r="AI83">
        <f t="shared" si="15"/>
        <v>318.38400000000001</v>
      </c>
      <c r="AJ83">
        <v>1</v>
      </c>
      <c r="AK83">
        <f t="shared" si="16"/>
        <v>14</v>
      </c>
      <c r="AL83">
        <f t="shared" si="17"/>
        <v>0</v>
      </c>
      <c r="AM83">
        <f t="shared" si="18"/>
        <v>0</v>
      </c>
      <c r="AN83">
        <f t="shared" si="19"/>
        <v>1818.9599843762776</v>
      </c>
    </row>
    <row r="84" spans="4:40">
      <c r="D84">
        <v>242.244</v>
      </c>
      <c r="E84">
        <v>1</v>
      </c>
      <c r="F84">
        <v>2</v>
      </c>
      <c r="G84">
        <v>0</v>
      </c>
      <c r="H84">
        <f t="shared" si="10"/>
        <v>338.19122665441586</v>
      </c>
      <c r="S84">
        <f t="shared" si="11"/>
        <v>242.244</v>
      </c>
      <c r="T84">
        <v>1</v>
      </c>
      <c r="U84">
        <f t="shared" si="12"/>
        <v>2</v>
      </c>
      <c r="V84">
        <f t="shared" si="13"/>
        <v>0</v>
      </c>
      <c r="W84">
        <f t="shared" si="14"/>
        <v>9529.8039367284</v>
      </c>
      <c r="AI84">
        <f t="shared" si="15"/>
        <v>242.244</v>
      </c>
      <c r="AJ84">
        <v>1</v>
      </c>
      <c r="AK84">
        <f t="shared" si="16"/>
        <v>2</v>
      </c>
      <c r="AL84">
        <f t="shared" si="17"/>
        <v>0</v>
      </c>
      <c r="AM84">
        <f t="shared" si="18"/>
        <v>0</v>
      </c>
      <c r="AN84">
        <f t="shared" si="19"/>
        <v>123.45266560964376</v>
      </c>
    </row>
    <row r="85" spans="4:40">
      <c r="D85">
        <v>293.22000000000003</v>
      </c>
      <c r="E85">
        <v>1</v>
      </c>
      <c r="F85">
        <v>8</v>
      </c>
      <c r="G85">
        <v>0</v>
      </c>
      <c r="H85">
        <f t="shared" si="10"/>
        <v>11.588948679808196</v>
      </c>
      <c r="S85">
        <f t="shared" si="11"/>
        <v>293.22000000000003</v>
      </c>
      <c r="T85">
        <v>1</v>
      </c>
      <c r="U85">
        <f t="shared" si="12"/>
        <v>8</v>
      </c>
      <c r="V85">
        <f t="shared" si="13"/>
        <v>0</v>
      </c>
      <c r="W85">
        <f t="shared" si="14"/>
        <v>3574.1198668902584</v>
      </c>
      <c r="AI85">
        <f t="shared" si="15"/>
        <v>293.22000000000003</v>
      </c>
      <c r="AJ85">
        <v>1</v>
      </c>
      <c r="AK85">
        <f t="shared" si="16"/>
        <v>8</v>
      </c>
      <c r="AL85">
        <f t="shared" si="17"/>
        <v>0</v>
      </c>
      <c r="AM85">
        <f t="shared" si="18"/>
        <v>0</v>
      </c>
      <c r="AN85">
        <f t="shared" si="19"/>
        <v>195.27536752591845</v>
      </c>
    </row>
    <row r="86" spans="4:40">
      <c r="D86">
        <v>254.232</v>
      </c>
      <c r="E86">
        <v>1</v>
      </c>
      <c r="F86">
        <v>4</v>
      </c>
      <c r="G86">
        <v>0</v>
      </c>
      <c r="H86">
        <f t="shared" si="10"/>
        <v>37.469489411719088</v>
      </c>
      <c r="S86">
        <f t="shared" si="11"/>
        <v>254.232</v>
      </c>
      <c r="T86">
        <v>1</v>
      </c>
      <c r="U86">
        <f t="shared" si="12"/>
        <v>4</v>
      </c>
      <c r="V86">
        <f t="shared" si="13"/>
        <v>0</v>
      </c>
      <c r="W86">
        <f t="shared" si="14"/>
        <v>8102.2425112563969</v>
      </c>
      <c r="AI86">
        <f t="shared" si="15"/>
        <v>254.232</v>
      </c>
      <c r="AJ86">
        <v>1</v>
      </c>
      <c r="AK86">
        <f t="shared" si="16"/>
        <v>4</v>
      </c>
      <c r="AL86">
        <f t="shared" si="17"/>
        <v>0</v>
      </c>
      <c r="AM86">
        <f t="shared" si="18"/>
        <v>0</v>
      </c>
      <c r="AN86">
        <f t="shared" si="19"/>
        <v>291.36154093931674</v>
      </c>
    </row>
    <row r="87" spans="4:40">
      <c r="D87">
        <v>306.72000000000003</v>
      </c>
      <c r="E87">
        <v>1</v>
      </c>
      <c r="F87">
        <v>11</v>
      </c>
      <c r="G87">
        <v>0</v>
      </c>
      <c r="H87">
        <f t="shared" si="10"/>
        <v>691.13096830957738</v>
      </c>
      <c r="S87">
        <f t="shared" si="11"/>
        <v>306.72000000000003</v>
      </c>
      <c r="T87">
        <v>1</v>
      </c>
      <c r="U87">
        <f t="shared" si="12"/>
        <v>11</v>
      </c>
      <c r="V87">
        <f t="shared" si="13"/>
        <v>0</v>
      </c>
      <c r="W87">
        <f t="shared" si="14"/>
        <v>2793.4985387261577</v>
      </c>
      <c r="AI87">
        <f t="shared" si="15"/>
        <v>306.72000000000003</v>
      </c>
      <c r="AJ87">
        <v>1</v>
      </c>
      <c r="AK87">
        <f t="shared" si="16"/>
        <v>11</v>
      </c>
      <c r="AL87">
        <f t="shared" si="17"/>
        <v>0</v>
      </c>
      <c r="AM87">
        <f t="shared" si="18"/>
        <v>0</v>
      </c>
      <c r="AN87">
        <f t="shared" si="19"/>
        <v>750.41379726985804</v>
      </c>
    </row>
    <row r="88" spans="4:40">
      <c r="D88">
        <v>348.35399999999998</v>
      </c>
      <c r="E88">
        <v>1</v>
      </c>
      <c r="F88">
        <v>10</v>
      </c>
      <c r="G88">
        <v>0</v>
      </c>
      <c r="H88">
        <f t="shared" si="10"/>
        <v>754.76583444966138</v>
      </c>
      <c r="S88">
        <f t="shared" si="11"/>
        <v>348.35399999999998</v>
      </c>
      <c r="T88">
        <v>1</v>
      </c>
      <c r="U88">
        <f t="shared" si="12"/>
        <v>10</v>
      </c>
      <c r="V88">
        <f t="shared" si="13"/>
        <v>0</v>
      </c>
      <c r="W88">
        <f t="shared" si="14"/>
        <v>81.535230389535243</v>
      </c>
      <c r="AI88">
        <f t="shared" si="15"/>
        <v>348.35399999999998</v>
      </c>
      <c r="AJ88">
        <v>1</v>
      </c>
      <c r="AK88">
        <f t="shared" si="16"/>
        <v>10</v>
      </c>
      <c r="AL88">
        <f t="shared" si="17"/>
        <v>0</v>
      </c>
      <c r="AM88">
        <f t="shared" si="18"/>
        <v>0</v>
      </c>
      <c r="AN88">
        <f t="shared" si="19"/>
        <v>538.8672057440067</v>
      </c>
    </row>
    <row r="89" spans="4:40">
      <c r="D89">
        <v>402.94799999999998</v>
      </c>
      <c r="E89">
        <v>1</v>
      </c>
      <c r="F89">
        <v>18</v>
      </c>
      <c r="G89">
        <v>0</v>
      </c>
      <c r="H89">
        <f t="shared" si="10"/>
        <v>223.80077470427238</v>
      </c>
      <c r="S89">
        <f t="shared" si="11"/>
        <v>402.94799999999998</v>
      </c>
      <c r="T89">
        <v>1</v>
      </c>
      <c r="U89">
        <f t="shared" si="12"/>
        <v>18</v>
      </c>
      <c r="V89">
        <f t="shared" si="13"/>
        <v>0</v>
      </c>
      <c r="W89">
        <f t="shared" si="14"/>
        <v>786.54123961515847</v>
      </c>
      <c r="AI89">
        <f t="shared" si="15"/>
        <v>402.94799999999998</v>
      </c>
      <c r="AJ89">
        <v>1</v>
      </c>
      <c r="AK89">
        <f t="shared" si="16"/>
        <v>18</v>
      </c>
      <c r="AL89">
        <f t="shared" si="17"/>
        <v>0</v>
      </c>
      <c r="AM89">
        <f t="shared" si="18"/>
        <v>0</v>
      </c>
      <c r="AN89">
        <f t="shared" si="19"/>
        <v>36.263910292880922</v>
      </c>
    </row>
    <row r="90" spans="4:40">
      <c r="D90">
        <v>424.44</v>
      </c>
      <c r="E90">
        <v>1</v>
      </c>
      <c r="F90">
        <v>25</v>
      </c>
      <c r="G90">
        <v>0</v>
      </c>
      <c r="H90">
        <f t="shared" si="10"/>
        <v>6141.3200710097535</v>
      </c>
      <c r="S90">
        <f t="shared" si="11"/>
        <v>424.44</v>
      </c>
      <c r="T90">
        <v>1</v>
      </c>
      <c r="U90">
        <f t="shared" si="12"/>
        <v>25</v>
      </c>
      <c r="V90">
        <f t="shared" si="13"/>
        <v>0</v>
      </c>
      <c r="W90">
        <f t="shared" si="14"/>
        <v>1170.2038628116034</v>
      </c>
      <c r="AI90">
        <f t="shared" si="15"/>
        <v>424.44</v>
      </c>
      <c r="AJ90">
        <v>1</v>
      </c>
      <c r="AK90">
        <f t="shared" si="16"/>
        <v>25</v>
      </c>
      <c r="AL90">
        <f t="shared" si="17"/>
        <v>0</v>
      </c>
      <c r="AM90">
        <f t="shared" si="18"/>
        <v>0</v>
      </c>
      <c r="AN90">
        <f t="shared" si="19"/>
        <v>1245.9780002384819</v>
      </c>
    </row>
    <row r="91" spans="4:40">
      <c r="D91">
        <v>321.57</v>
      </c>
      <c r="E91">
        <v>1</v>
      </c>
      <c r="F91">
        <v>11</v>
      </c>
      <c r="G91">
        <v>0</v>
      </c>
      <c r="H91">
        <f t="shared" si="10"/>
        <v>130.85918308702668</v>
      </c>
      <c r="S91">
        <f t="shared" si="11"/>
        <v>321.57</v>
      </c>
      <c r="T91">
        <v>1</v>
      </c>
      <c r="U91">
        <f t="shared" si="12"/>
        <v>11</v>
      </c>
      <c r="V91">
        <f t="shared" si="13"/>
        <v>0</v>
      </c>
      <c r="W91">
        <f t="shared" si="14"/>
        <v>1444.2703814480826</v>
      </c>
      <c r="AI91">
        <f t="shared" si="15"/>
        <v>321.57</v>
      </c>
      <c r="AJ91">
        <v>1</v>
      </c>
      <c r="AK91">
        <f t="shared" si="16"/>
        <v>11</v>
      </c>
      <c r="AL91">
        <f t="shared" si="17"/>
        <v>0</v>
      </c>
      <c r="AM91">
        <f t="shared" si="18"/>
        <v>0</v>
      </c>
      <c r="AN91">
        <f t="shared" si="19"/>
        <v>157.34395067743364</v>
      </c>
    </row>
    <row r="92" spans="4:40">
      <c r="D92">
        <v>374.976</v>
      </c>
      <c r="E92">
        <v>1</v>
      </c>
      <c r="F92">
        <v>17</v>
      </c>
      <c r="G92">
        <v>0</v>
      </c>
      <c r="H92">
        <f t="shared" si="10"/>
        <v>948.86181143968383</v>
      </c>
      <c r="S92">
        <f t="shared" si="11"/>
        <v>374.976</v>
      </c>
      <c r="T92">
        <v>1</v>
      </c>
      <c r="U92">
        <f t="shared" si="12"/>
        <v>17</v>
      </c>
      <c r="V92">
        <f t="shared" si="13"/>
        <v>0</v>
      </c>
      <c r="W92">
        <f t="shared" si="14"/>
        <v>5.1221375508059062</v>
      </c>
      <c r="AI92">
        <f t="shared" si="15"/>
        <v>374.976</v>
      </c>
      <c r="AJ92">
        <v>1</v>
      </c>
      <c r="AK92">
        <f t="shared" si="16"/>
        <v>17</v>
      </c>
      <c r="AL92">
        <f t="shared" si="17"/>
        <v>0</v>
      </c>
      <c r="AM92">
        <f t="shared" si="18"/>
        <v>0</v>
      </c>
      <c r="AN92">
        <f t="shared" si="19"/>
        <v>168.39870084451741</v>
      </c>
    </row>
    <row r="93" spans="4:40">
      <c r="D93">
        <v>411.69600000000003</v>
      </c>
      <c r="E93">
        <v>1</v>
      </c>
      <c r="F93">
        <v>19</v>
      </c>
      <c r="G93">
        <v>0</v>
      </c>
      <c r="H93">
        <f t="shared" si="10"/>
        <v>336.36822568718213</v>
      </c>
      <c r="S93">
        <f t="shared" si="11"/>
        <v>411.69600000000003</v>
      </c>
      <c r="T93">
        <v>1</v>
      </c>
      <c r="U93">
        <f t="shared" si="12"/>
        <v>19</v>
      </c>
      <c r="V93">
        <f t="shared" si="13"/>
        <v>0</v>
      </c>
      <c r="W93">
        <f t="shared" si="14"/>
        <v>1197.4002152132018</v>
      </c>
      <c r="AI93">
        <f t="shared" si="15"/>
        <v>411.69600000000003</v>
      </c>
      <c r="AJ93">
        <v>1</v>
      </c>
      <c r="AK93">
        <f t="shared" si="16"/>
        <v>19</v>
      </c>
      <c r="AL93">
        <f t="shared" si="17"/>
        <v>0</v>
      </c>
      <c r="AM93">
        <f t="shared" si="18"/>
        <v>0</v>
      </c>
      <c r="AN93">
        <f t="shared" si="19"/>
        <v>33.602394413039598</v>
      </c>
    </row>
    <row r="94" spans="4:40">
      <c r="D94">
        <v>261.57600000000002</v>
      </c>
      <c r="E94">
        <v>1</v>
      </c>
      <c r="F94">
        <v>7</v>
      </c>
      <c r="G94">
        <v>0</v>
      </c>
      <c r="H94">
        <f t="shared" si="10"/>
        <v>525.32102320899628</v>
      </c>
      <c r="S94">
        <f t="shared" si="11"/>
        <v>261.57600000000002</v>
      </c>
      <c r="T94">
        <v>1</v>
      </c>
      <c r="U94">
        <f t="shared" si="12"/>
        <v>7</v>
      </c>
      <c r="V94">
        <f t="shared" si="13"/>
        <v>0</v>
      </c>
      <c r="W94">
        <f t="shared" si="14"/>
        <v>7963.4334582539814</v>
      </c>
      <c r="AI94">
        <f t="shared" si="15"/>
        <v>261.57600000000002</v>
      </c>
      <c r="AJ94">
        <v>1</v>
      </c>
      <c r="AK94">
        <f t="shared" si="16"/>
        <v>7</v>
      </c>
      <c r="AL94">
        <f t="shared" si="17"/>
        <v>0</v>
      </c>
      <c r="AM94">
        <f t="shared" si="18"/>
        <v>0</v>
      </c>
      <c r="AN94">
        <f t="shared" si="19"/>
        <v>1342.8487818649346</v>
      </c>
    </row>
    <row r="95" spans="4:40">
      <c r="H95">
        <f>SUM(H5:H94)</f>
        <v>174001.18213062687</v>
      </c>
      <c r="W95">
        <f>SUM(W5:W94)</f>
        <v>300923.62840004242</v>
      </c>
      <c r="AN95" s="53">
        <f>SUM(AN5:AN94)</f>
        <v>146070.79053290069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3:S59"/>
  <sheetViews>
    <sheetView workbookViewId="0">
      <selection activeCell="B18" sqref="B18:E22"/>
    </sheetView>
  </sheetViews>
  <sheetFormatPr defaultRowHeight="15"/>
  <cols>
    <col min="3" max="3" width="9.28515625" bestFit="1" customWidth="1"/>
  </cols>
  <sheetData>
    <row r="3" spans="2:19">
      <c r="Q3" s="2">
        <f>AVERAGE(D5:D15)</f>
        <v>170</v>
      </c>
      <c r="S3" s="2">
        <f>AVERAGE(E5:E15)</f>
        <v>1740</v>
      </c>
    </row>
    <row r="4" spans="2:19" ht="17.25">
      <c r="B4" s="56" t="s">
        <v>60</v>
      </c>
      <c r="C4" s="37" t="s">
        <v>92</v>
      </c>
      <c r="D4" s="56" t="s">
        <v>59</v>
      </c>
      <c r="E4" s="56" t="s">
        <v>58</v>
      </c>
      <c r="F4" s="56" t="s">
        <v>115</v>
      </c>
    </row>
    <row r="5" spans="2:19">
      <c r="B5" s="57">
        <v>70</v>
      </c>
      <c r="C5">
        <v>1</v>
      </c>
      <c r="D5" s="57">
        <v>80</v>
      </c>
      <c r="E5" s="57">
        <v>810</v>
      </c>
      <c r="F5">
        <f>(B5-C$31-C$32*D5-C$33*E5)^2</f>
        <v>18.269198552316642</v>
      </c>
      <c r="G5" s="57"/>
      <c r="Q5" s="2">
        <f>D5-Q$3</f>
        <v>-90</v>
      </c>
      <c r="R5" s="2">
        <f>E5-S$3</f>
        <v>-930</v>
      </c>
      <c r="S5">
        <f>Q5*R5</f>
        <v>83700</v>
      </c>
    </row>
    <row r="6" spans="2:19">
      <c r="B6" s="36">
        <v>65</v>
      </c>
      <c r="C6">
        <v>1</v>
      </c>
      <c r="D6" s="36">
        <v>100</v>
      </c>
      <c r="E6" s="36">
        <v>1009</v>
      </c>
      <c r="F6">
        <f t="shared" ref="F6:F15" si="0">(B6-C$31-C$32*D6-C$33*E6)^2</f>
        <v>123.47714756294141</v>
      </c>
      <c r="G6" s="36"/>
      <c r="Q6" s="2">
        <f t="shared" ref="Q6:Q15" si="1">D6-Q$3</f>
        <v>-70</v>
      </c>
      <c r="R6" s="2">
        <f t="shared" ref="R6:R15" si="2">E6-S$3</f>
        <v>-731</v>
      </c>
      <c r="S6">
        <f t="shared" ref="S6:S15" si="3">Q6*R6</f>
        <v>51170</v>
      </c>
    </row>
    <row r="7" spans="2:19">
      <c r="B7" s="36">
        <v>90</v>
      </c>
      <c r="C7">
        <v>1</v>
      </c>
      <c r="D7" s="36">
        <v>120</v>
      </c>
      <c r="E7" s="36">
        <v>1273</v>
      </c>
      <c r="F7">
        <f t="shared" si="0"/>
        <v>39.18687138991789</v>
      </c>
      <c r="G7" s="36"/>
      <c r="Q7" s="2">
        <f t="shared" si="1"/>
        <v>-50</v>
      </c>
      <c r="R7" s="2">
        <f t="shared" si="2"/>
        <v>-467</v>
      </c>
      <c r="S7">
        <f t="shared" si="3"/>
        <v>23350</v>
      </c>
    </row>
    <row r="8" spans="2:19">
      <c r="B8" s="57">
        <v>95</v>
      </c>
      <c r="C8">
        <v>1</v>
      </c>
      <c r="D8" s="57">
        <v>140</v>
      </c>
      <c r="E8" s="57">
        <v>1425</v>
      </c>
      <c r="F8">
        <f t="shared" si="0"/>
        <v>1.2560952378558581</v>
      </c>
      <c r="G8" s="57"/>
      <c r="Q8" s="2">
        <f t="shared" si="1"/>
        <v>-30</v>
      </c>
      <c r="R8" s="2">
        <f t="shared" si="2"/>
        <v>-315</v>
      </c>
      <c r="S8">
        <f t="shared" si="3"/>
        <v>9450</v>
      </c>
    </row>
    <row r="9" spans="2:19">
      <c r="B9" s="57">
        <v>110</v>
      </c>
      <c r="C9">
        <v>1</v>
      </c>
      <c r="D9" s="57">
        <v>160</v>
      </c>
      <c r="E9" s="57">
        <v>1633</v>
      </c>
      <c r="F9">
        <f t="shared" si="0"/>
        <v>15.014685392462749</v>
      </c>
      <c r="G9" s="57"/>
      <c r="Q9" s="2">
        <f t="shared" si="1"/>
        <v>-10</v>
      </c>
      <c r="R9" s="2">
        <f t="shared" si="2"/>
        <v>-107</v>
      </c>
      <c r="S9">
        <f t="shared" si="3"/>
        <v>1070</v>
      </c>
    </row>
    <row r="10" spans="2:19">
      <c r="B10" s="57">
        <v>115</v>
      </c>
      <c r="C10">
        <v>1</v>
      </c>
      <c r="D10" s="57">
        <v>180</v>
      </c>
      <c r="E10" s="57">
        <v>1876</v>
      </c>
      <c r="F10">
        <f t="shared" si="0"/>
        <v>0.12653856768199345</v>
      </c>
      <c r="G10" s="57"/>
      <c r="Q10" s="2">
        <f t="shared" si="1"/>
        <v>10</v>
      </c>
      <c r="R10" s="2">
        <f t="shared" si="2"/>
        <v>136</v>
      </c>
      <c r="S10">
        <f t="shared" si="3"/>
        <v>1360</v>
      </c>
    </row>
    <row r="11" spans="2:19">
      <c r="B11" s="57">
        <v>120</v>
      </c>
      <c r="C11">
        <v>1</v>
      </c>
      <c r="D11" s="57">
        <v>200</v>
      </c>
      <c r="E11" s="57">
        <v>2052</v>
      </c>
      <c r="F11">
        <f t="shared" si="0"/>
        <v>36.078607365335728</v>
      </c>
      <c r="G11" s="57"/>
      <c r="Q11" s="2">
        <f t="shared" si="1"/>
        <v>30</v>
      </c>
      <c r="R11" s="2">
        <f t="shared" si="2"/>
        <v>312</v>
      </c>
      <c r="S11">
        <f t="shared" si="3"/>
        <v>9360</v>
      </c>
    </row>
    <row r="12" spans="2:19">
      <c r="B12" s="36">
        <v>140</v>
      </c>
      <c r="C12">
        <v>1</v>
      </c>
      <c r="D12" s="36">
        <v>220</v>
      </c>
      <c r="E12" s="36">
        <v>2201</v>
      </c>
      <c r="F12">
        <f t="shared" si="0"/>
        <v>2.2065647278337277</v>
      </c>
      <c r="G12" s="36"/>
      <c r="Q12" s="2">
        <f t="shared" si="1"/>
        <v>50</v>
      </c>
      <c r="R12" s="2">
        <f t="shared" si="2"/>
        <v>461</v>
      </c>
      <c r="S12">
        <f t="shared" si="3"/>
        <v>23050</v>
      </c>
    </row>
    <row r="13" spans="2:19">
      <c r="B13" s="57">
        <v>155</v>
      </c>
      <c r="C13">
        <v>1</v>
      </c>
      <c r="D13" s="57">
        <v>240</v>
      </c>
      <c r="E13" s="57">
        <v>2435</v>
      </c>
      <c r="F13">
        <f t="shared" si="0"/>
        <v>57.522882070078744</v>
      </c>
      <c r="G13" s="57"/>
      <c r="Q13" s="2">
        <f t="shared" si="1"/>
        <v>70</v>
      </c>
      <c r="R13" s="2">
        <f t="shared" si="2"/>
        <v>695</v>
      </c>
      <c r="S13">
        <f t="shared" si="3"/>
        <v>48650</v>
      </c>
    </row>
    <row r="14" spans="2:19">
      <c r="B14" s="57">
        <v>150</v>
      </c>
      <c r="C14">
        <v>1</v>
      </c>
      <c r="D14" s="57">
        <v>260</v>
      </c>
      <c r="E14" s="57">
        <v>2686</v>
      </c>
      <c r="F14">
        <f t="shared" si="0"/>
        <v>31.307335418735295</v>
      </c>
      <c r="G14" s="57"/>
      <c r="Q14" s="2">
        <f t="shared" si="1"/>
        <v>90</v>
      </c>
      <c r="R14" s="2">
        <f t="shared" si="2"/>
        <v>946</v>
      </c>
      <c r="S14">
        <f t="shared" si="3"/>
        <v>85140</v>
      </c>
    </row>
    <row r="15" spans="2:19">
      <c r="B15" s="57">
        <f t="shared" ref="B15" si="4">AVERAGE(B5:B14)</f>
        <v>111</v>
      </c>
      <c r="C15">
        <v>1</v>
      </c>
      <c r="D15" s="57">
        <f t="shared" ref="D15" si="5">AVERAGE(D5:D14)</f>
        <v>170</v>
      </c>
      <c r="E15" s="57">
        <f>AVERAGE(E5:E14)</f>
        <v>1740</v>
      </c>
      <c r="F15">
        <f t="shared" si="0"/>
        <v>5.1951595359275749E-21</v>
      </c>
      <c r="G15" s="57"/>
      <c r="Q15" s="2">
        <f t="shared" si="1"/>
        <v>0</v>
      </c>
      <c r="R15" s="2">
        <f t="shared" si="2"/>
        <v>0</v>
      </c>
      <c r="S15">
        <f t="shared" si="3"/>
        <v>0</v>
      </c>
    </row>
    <row r="16" spans="2:19">
      <c r="F16" s="30">
        <f>SUM(F5:F15)</f>
        <v>324.44592628516006</v>
      </c>
      <c r="Q16" s="2"/>
      <c r="R16" s="2"/>
      <c r="S16">
        <f>SUM(S5:S15)</f>
        <v>336300</v>
      </c>
    </row>
    <row r="18" spans="2:6">
      <c r="C18" s="40">
        <f t="array" ref="C18:E20">MMULT(TRANSPOSE(C5:E15),C5:E15)</f>
        <v>11</v>
      </c>
      <c r="D18" s="50">
        <v>1870</v>
      </c>
      <c r="E18" s="41">
        <v>19140</v>
      </c>
    </row>
    <row r="19" spans="2:6">
      <c r="B19" s="38" t="s">
        <v>93</v>
      </c>
      <c r="C19" s="40">
        <v>1870</v>
      </c>
      <c r="D19" s="50">
        <v>350900</v>
      </c>
      <c r="E19" s="41">
        <v>3590100</v>
      </c>
    </row>
    <row r="20" spans="2:6">
      <c r="B20" s="38"/>
      <c r="C20" s="40">
        <v>19140</v>
      </c>
      <c r="D20" s="50">
        <v>3590100</v>
      </c>
      <c r="E20" s="41">
        <v>36737926</v>
      </c>
    </row>
    <row r="23" spans="2:6">
      <c r="C23" s="40">
        <f t="array" ref="C23:E25">MINVERSE(C18:E20)</f>
        <v>0.97465932488394036</v>
      </c>
      <c r="D23" s="50">
        <v>5.6433882961534013E-3</v>
      </c>
      <c r="E23" s="41">
        <v>-1.0592679565062967E-3</v>
      </c>
    </row>
    <row r="24" spans="2:6" ht="17.25">
      <c r="B24" s="38" t="s">
        <v>94</v>
      </c>
      <c r="C24" s="40">
        <v>5.6433882961540007E-3</v>
      </c>
      <c r="D24" s="50">
        <v>1.4609925638544217E-2</v>
      </c>
      <c r="E24" s="41">
        <v>-1.4306498545107302E-3</v>
      </c>
    </row>
    <row r="25" spans="2:6">
      <c r="C25" s="40">
        <v>-1.0592679565063388E-3</v>
      </c>
      <c r="D25" s="50">
        <v>-1.4306498545107302E-3</v>
      </c>
      <c r="E25" s="41">
        <v>1.4038490989846578E-4</v>
      </c>
    </row>
    <row r="27" spans="2:6">
      <c r="C27" s="42">
        <f t="array" ref="C27:C29">MMULT(TRANSPOSE(C5:E15),B5:B15)</f>
        <v>1221</v>
      </c>
    </row>
    <row r="28" spans="2:6">
      <c r="B28" s="38" t="s">
        <v>95</v>
      </c>
      <c r="C28" s="42">
        <v>224370</v>
      </c>
    </row>
    <row r="29" spans="2:6">
      <c r="C29" s="42">
        <v>2295445</v>
      </c>
      <c r="E29" s="39" t="s">
        <v>114</v>
      </c>
      <c r="F29">
        <f>(F16/(11-3))^0.5</f>
        <v>6.368338934576661</v>
      </c>
    </row>
    <row r="31" spans="2:6">
      <c r="C31" s="42">
        <f t="array" ref="C31:C33">MMULT(C23:E25,C27:C29)</f>
        <v>24.774733268633554</v>
      </c>
    </row>
    <row r="32" spans="2:6">
      <c r="B32" s="39" t="s">
        <v>96</v>
      </c>
      <c r="C32" s="42">
        <v>0.94153734238716424</v>
      </c>
    </row>
    <row r="33" spans="2:5">
      <c r="C33" s="42">
        <v>-4.2434529582976666E-2</v>
      </c>
    </row>
    <row r="35" spans="2:5">
      <c r="C35" s="40">
        <f t="array" ref="C35:E37">F29^2*C23:E25</f>
        <v>39.528030934304837</v>
      </c>
      <c r="D35" s="50">
        <v>0.22887179289154014</v>
      </c>
      <c r="E35" s="41">
        <v>-4.2959396666609251E-2</v>
      </c>
    </row>
    <row r="36" spans="2:5">
      <c r="B36" s="46" t="s">
        <v>128</v>
      </c>
      <c r="C36" s="40">
        <v>0.22887179289156445</v>
      </c>
      <c r="D36" s="50">
        <v>0.59251635709434824</v>
      </c>
      <c r="E36" s="41">
        <v>-5.8021064654557905E-2</v>
      </c>
    </row>
    <row r="37" spans="2:5">
      <c r="C37" s="40">
        <v>-4.2959396666610958E-2</v>
      </c>
      <c r="D37" s="50">
        <v>-5.8021064654557905E-2</v>
      </c>
      <c r="E37" s="41">
        <v>5.6934140160583074E-3</v>
      </c>
    </row>
    <row r="48" spans="2:5">
      <c r="C48" s="37" t="s">
        <v>92</v>
      </c>
      <c r="D48" s="56" t="s">
        <v>59</v>
      </c>
      <c r="E48" s="56" t="s">
        <v>58</v>
      </c>
    </row>
    <row r="49" spans="2:5">
      <c r="B49" s="37" t="s">
        <v>92</v>
      </c>
      <c r="C49" s="40">
        <f t="array" ref="C49:E51">F29^2*C23:E25</f>
        <v>39.528030934304837</v>
      </c>
      <c r="D49" s="50">
        <v>0.22887179289154014</v>
      </c>
      <c r="E49" s="41">
        <v>-4.2959396666609251E-2</v>
      </c>
    </row>
    <row r="50" spans="2:5">
      <c r="B50" s="56" t="s">
        <v>59</v>
      </c>
      <c r="C50" s="40">
        <v>0.22887179289156445</v>
      </c>
      <c r="D50" s="50">
        <v>0.59251635709434824</v>
      </c>
      <c r="E50" s="41">
        <v>-5.8021064654557905E-2</v>
      </c>
    </row>
    <row r="51" spans="2:5">
      <c r="B51" s="56" t="s">
        <v>58</v>
      </c>
      <c r="C51" s="40">
        <v>-4.2959396666610958E-2</v>
      </c>
      <c r="D51" s="50">
        <v>-5.8021064654557905E-2</v>
      </c>
      <c r="E51" s="41">
        <v>5.6934140160583074E-3</v>
      </c>
    </row>
    <row r="55" spans="2:5">
      <c r="B55" s="39" t="s">
        <v>136</v>
      </c>
      <c r="C55" s="58">
        <f>E50/(D50*E51)^0.5</f>
        <v>-0.99896239171398515</v>
      </c>
    </row>
    <row r="59" spans="2:5">
      <c r="B59" s="38" t="s">
        <v>137</v>
      </c>
      <c r="C59" s="46">
        <f>CORREL(D5:D15,E5:E15)</f>
        <v>0.99896239171398482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5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3:BF92"/>
  <sheetViews>
    <sheetView workbookViewId="0">
      <selection activeCell="N26" sqref="N26:N27"/>
    </sheetView>
  </sheetViews>
  <sheetFormatPr defaultRowHeight="15"/>
  <cols>
    <col min="3" max="3" width="2.140625" bestFit="1" customWidth="1"/>
    <col min="7" max="7" width="3.42578125" bestFit="1" customWidth="1"/>
    <col min="8" max="8" width="12" bestFit="1" customWidth="1"/>
    <col min="9" max="9" width="12" customWidth="1"/>
    <col min="10" max="10" width="3" customWidth="1"/>
    <col min="12" max="12" width="12" bestFit="1" customWidth="1"/>
    <col min="13" max="13" width="12.7109375" bestFit="1" customWidth="1"/>
    <col min="14" max="14" width="12.140625" bestFit="1" customWidth="1"/>
    <col min="15" max="15" width="12.7109375" bestFit="1" customWidth="1"/>
    <col min="16" max="16" width="11.140625" bestFit="1" customWidth="1"/>
    <col min="26" max="26" width="15.42578125" bestFit="1" customWidth="1"/>
    <col min="33" max="33" width="12" bestFit="1" customWidth="1"/>
    <col min="36" max="36" width="11" bestFit="1" customWidth="1"/>
    <col min="38" max="38" width="11" bestFit="1" customWidth="1"/>
    <col min="41" max="41" width="12" bestFit="1" customWidth="1"/>
    <col min="42" max="42" width="12" customWidth="1"/>
    <col min="43" max="43" width="12.7109375" bestFit="1" customWidth="1"/>
    <col min="45" max="46" width="12.140625" bestFit="1" customWidth="1"/>
    <col min="47" max="47" width="12.28515625" bestFit="1" customWidth="1"/>
    <col min="48" max="48" width="12.7109375" bestFit="1" customWidth="1"/>
    <col min="49" max="49" width="15.42578125" bestFit="1" customWidth="1"/>
    <col min="50" max="51" width="12.7109375" bestFit="1" customWidth="1"/>
    <col min="52" max="53" width="12.140625" bestFit="1" customWidth="1"/>
    <col min="54" max="56" width="12.7109375" bestFit="1" customWidth="1"/>
    <col min="57" max="57" width="12.140625" bestFit="1" customWidth="1"/>
    <col min="58" max="58" width="12.7109375" bestFit="1" customWidth="1"/>
  </cols>
  <sheetData>
    <row r="3" spans="2:58" ht="17.25">
      <c r="B3" s="37" t="s">
        <v>140</v>
      </c>
      <c r="C3" s="37" t="s">
        <v>92</v>
      </c>
      <c r="D3" s="37" t="s">
        <v>138</v>
      </c>
      <c r="E3" s="37" t="s">
        <v>139</v>
      </c>
      <c r="F3" s="37" t="s">
        <v>142</v>
      </c>
      <c r="G3" s="37" t="s">
        <v>141</v>
      </c>
      <c r="H3" s="37" t="s">
        <v>115</v>
      </c>
      <c r="I3" s="37" t="s">
        <v>155</v>
      </c>
      <c r="Z3" s="63" t="s">
        <v>115</v>
      </c>
      <c r="AA3" s="63" t="s">
        <v>92</v>
      </c>
      <c r="AB3" s="63" t="s">
        <v>138</v>
      </c>
      <c r="AC3" s="63" t="s">
        <v>139</v>
      </c>
      <c r="AD3" s="63" t="s">
        <v>147</v>
      </c>
      <c r="AE3" s="63" t="s">
        <v>141</v>
      </c>
      <c r="AF3" s="63" t="s">
        <v>143</v>
      </c>
      <c r="AG3" s="63" t="s">
        <v>144</v>
      </c>
      <c r="AH3" s="63" t="s">
        <v>145</v>
      </c>
      <c r="AI3" s="63" t="s">
        <v>146</v>
      </c>
      <c r="AJ3" s="63" t="s">
        <v>148</v>
      </c>
      <c r="AK3" s="63" t="s">
        <v>149</v>
      </c>
      <c r="AL3" s="63" t="s">
        <v>152</v>
      </c>
      <c r="AM3" s="63" t="s">
        <v>150</v>
      </c>
      <c r="AN3" s="63" t="s">
        <v>151</v>
      </c>
      <c r="AO3" s="63" t="s">
        <v>153</v>
      </c>
      <c r="AP3" s="63" t="s">
        <v>155</v>
      </c>
      <c r="AQ3" s="67" t="s">
        <v>160</v>
      </c>
      <c r="AS3">
        <v>1</v>
      </c>
      <c r="AT3">
        <f>AS3+1</f>
        <v>2</v>
      </c>
      <c r="AU3">
        <f t="shared" ref="AU3:BF3" si="0">AT3+1</f>
        <v>3</v>
      </c>
      <c r="AV3">
        <f t="shared" si="0"/>
        <v>4</v>
      </c>
      <c r="AW3">
        <f t="shared" si="0"/>
        <v>5</v>
      </c>
      <c r="AX3">
        <f t="shared" si="0"/>
        <v>6</v>
      </c>
      <c r="AY3">
        <f t="shared" si="0"/>
        <v>7</v>
      </c>
      <c r="AZ3">
        <f t="shared" si="0"/>
        <v>8</v>
      </c>
      <c r="BA3">
        <f t="shared" si="0"/>
        <v>9</v>
      </c>
      <c r="BB3">
        <f t="shared" si="0"/>
        <v>10</v>
      </c>
      <c r="BC3">
        <f t="shared" si="0"/>
        <v>11</v>
      </c>
      <c r="BD3">
        <f t="shared" si="0"/>
        <v>12</v>
      </c>
      <c r="BE3">
        <f t="shared" si="0"/>
        <v>13</v>
      </c>
      <c r="BF3">
        <f t="shared" si="0"/>
        <v>14</v>
      </c>
    </row>
    <row r="4" spans="2:58">
      <c r="B4">
        <v>191000</v>
      </c>
      <c r="C4">
        <v>1</v>
      </c>
      <c r="D4">
        <v>5200</v>
      </c>
      <c r="E4">
        <v>1374</v>
      </c>
      <c r="F4">
        <f>E4^2</f>
        <v>1887876</v>
      </c>
      <c r="G4">
        <v>3</v>
      </c>
      <c r="H4">
        <f t="shared" ref="H4:H35" si="1">(B4-L$22-L$23*D4-L$24*E4-L$25*F4-L$26*G4)^2</f>
        <v>605562540.27684951</v>
      </c>
      <c r="I4">
        <f>(B4-O$21)^2</f>
        <v>10515689107.773895</v>
      </c>
      <c r="K4" s="38"/>
      <c r="L4" s="40">
        <f t="array" ref="L4:P8">MMULT(TRANSPOSE(C4:G91),C4:G91)</f>
        <v>88</v>
      </c>
      <c r="M4" s="50">
        <v>793748</v>
      </c>
      <c r="N4" s="50">
        <v>177205</v>
      </c>
      <c r="O4" s="50">
        <v>385820561</v>
      </c>
      <c r="P4" s="41">
        <v>314</v>
      </c>
      <c r="Z4" s="65">
        <f t="shared" ref="Z4:Z35" si="2">H4</f>
        <v>605562540.27684951</v>
      </c>
      <c r="AA4">
        <f t="shared" ref="AA4:AA35" si="3">C4</f>
        <v>1</v>
      </c>
      <c r="AB4">
        <f t="shared" ref="AB4:AB35" si="4">D4</f>
        <v>5200</v>
      </c>
      <c r="AC4">
        <f t="shared" ref="AC4:AC35" si="5">E4</f>
        <v>1374</v>
      </c>
      <c r="AD4">
        <f>AC4^2</f>
        <v>1887876</v>
      </c>
      <c r="AE4">
        <f t="shared" ref="AE4:AE35" si="6">G4</f>
        <v>3</v>
      </c>
      <c r="AF4">
        <f>AB4^2</f>
        <v>27040000</v>
      </c>
      <c r="AG4">
        <f>AD4^2</f>
        <v>3564075791376</v>
      </c>
      <c r="AH4">
        <f>AE4^2</f>
        <v>9</v>
      </c>
      <c r="AI4">
        <f>AB4*AC4</f>
        <v>7144800</v>
      </c>
      <c r="AJ4">
        <f>AB4*AD4</f>
        <v>9816955200</v>
      </c>
      <c r="AK4">
        <f>AB4*AE4</f>
        <v>15600</v>
      </c>
      <c r="AL4">
        <f>AD4*AC4</f>
        <v>2593941624</v>
      </c>
      <c r="AM4">
        <f>AC4*AE4</f>
        <v>4122</v>
      </c>
      <c r="AN4">
        <f>AD4*AE4</f>
        <v>5663628</v>
      </c>
      <c r="AO4">
        <f t="shared" ref="AO4:AO35" si="7">(Z4-AU$37-AU$38*AB4-AU$39*AC4-AU$40*AD4-AU$41*AE4-AU$42*AF4-AU$43*AG4-AU$44*AH4-AU$45*AI4-AU$46*AJ4-AU$47*AK4-AU$48*AL4-AU$49*AM4-AU$50*AN4)^2</f>
        <v>1.3089011495599639E+19</v>
      </c>
      <c r="AP4">
        <f>(Z4-AW$38)^2</f>
        <v>7.1069340702615357E+18</v>
      </c>
      <c r="AQ4">
        <f>AP4-AO4</f>
        <v>-5.9820774253381028E+18</v>
      </c>
    </row>
    <row r="5" spans="2:58">
      <c r="B5">
        <v>206000</v>
      </c>
      <c r="C5">
        <v>1</v>
      </c>
      <c r="D5">
        <v>6000</v>
      </c>
      <c r="E5">
        <v>1767</v>
      </c>
      <c r="F5">
        <f t="shared" ref="F5:F68" si="8">E5^2</f>
        <v>3122289</v>
      </c>
      <c r="G5">
        <v>3</v>
      </c>
      <c r="H5">
        <f t="shared" si="1"/>
        <v>1732181733.7520821</v>
      </c>
      <c r="I5">
        <f t="shared" ref="I5:I68" si="9">(B5-O$21)^2</f>
        <v>7664308085.0466213</v>
      </c>
      <c r="L5" s="40">
        <v>793748</v>
      </c>
      <c r="M5" s="50">
        <v>16165159010</v>
      </c>
      <c r="N5" s="50">
        <v>1692290257</v>
      </c>
      <c r="O5" s="50">
        <v>3972675033601</v>
      </c>
      <c r="P5" s="41">
        <v>2933767</v>
      </c>
      <c r="Z5" s="65">
        <f t="shared" si="2"/>
        <v>1732181733.7520821</v>
      </c>
      <c r="AA5">
        <f t="shared" si="3"/>
        <v>1</v>
      </c>
      <c r="AB5">
        <f t="shared" si="4"/>
        <v>6000</v>
      </c>
      <c r="AC5">
        <f t="shared" si="5"/>
        <v>1767</v>
      </c>
      <c r="AD5">
        <f t="shared" ref="AD5:AD68" si="10">AC5^2</f>
        <v>3122289</v>
      </c>
      <c r="AE5">
        <f t="shared" si="6"/>
        <v>3</v>
      </c>
      <c r="AF5">
        <f t="shared" ref="AF5:AF68" si="11">AB5^2</f>
        <v>36000000</v>
      </c>
      <c r="AG5">
        <f t="shared" ref="AG5:AG68" si="12">AD5^2</f>
        <v>9748688599521</v>
      </c>
      <c r="AH5">
        <f t="shared" ref="AH5:AH68" si="13">AE5^2</f>
        <v>9</v>
      </c>
      <c r="AI5">
        <f t="shared" ref="AI5:AI68" si="14">AB5*AC5</f>
        <v>10602000</v>
      </c>
      <c r="AJ5">
        <f t="shared" ref="AJ5:AJ68" si="15">AB5*AD5</f>
        <v>18733734000</v>
      </c>
      <c r="AK5">
        <f t="shared" ref="AK5:AK68" si="16">AB5*AE5</f>
        <v>18000</v>
      </c>
      <c r="AL5">
        <f t="shared" ref="AL5:AL68" si="17">AD5*AC5</f>
        <v>5517084663</v>
      </c>
      <c r="AM5">
        <f t="shared" ref="AM5:AM68" si="18">AC5*AE5</f>
        <v>5301</v>
      </c>
      <c r="AN5">
        <f t="shared" ref="AN5:AN68" si="19">AD5*AE5</f>
        <v>9366867</v>
      </c>
      <c r="AO5">
        <f t="shared" si="7"/>
        <v>3.1792872455843149E+17</v>
      </c>
      <c r="AP5">
        <f t="shared" ref="AP5:AP68" si="20">(Z5-AW$38)^2</f>
        <v>2.3693341634556063E+18</v>
      </c>
      <c r="AQ5">
        <f t="shared" ref="AQ5:AQ68" si="21">AP5-AO5</f>
        <v>2.0514054388971748E+18</v>
      </c>
      <c r="AR5" s="38"/>
      <c r="AS5" s="40">
        <f t="array" ref="AS5:BF18">MMULT(TRANSPOSE(AA4:AN91),AA4:AN91)</f>
        <v>88</v>
      </c>
      <c r="AT5" s="50">
        <v>793748</v>
      </c>
      <c r="AU5" s="50">
        <v>177205</v>
      </c>
      <c r="AV5" s="50">
        <v>385820561</v>
      </c>
      <c r="AW5" s="50">
        <v>314</v>
      </c>
      <c r="AX5">
        <v>16165159010</v>
      </c>
      <c r="AY5">
        <v>2382651299058413</v>
      </c>
      <c r="AZ5">
        <v>1182</v>
      </c>
      <c r="BA5">
        <v>1692290257</v>
      </c>
      <c r="BB5">
        <v>3972675033601</v>
      </c>
      <c r="BC5">
        <v>2933767</v>
      </c>
      <c r="BD5">
        <v>916673706103</v>
      </c>
      <c r="BE5">
        <v>654755</v>
      </c>
      <c r="BF5" s="41">
        <v>1485901125</v>
      </c>
    </row>
    <row r="6" spans="2:58">
      <c r="B6">
        <v>240000</v>
      </c>
      <c r="C6">
        <v>1</v>
      </c>
      <c r="D6">
        <v>2892</v>
      </c>
      <c r="E6">
        <v>1890</v>
      </c>
      <c r="F6">
        <f t="shared" si="8"/>
        <v>3572100</v>
      </c>
      <c r="G6">
        <v>3</v>
      </c>
      <c r="H6">
        <f t="shared" si="1"/>
        <v>165105239.6529001</v>
      </c>
      <c r="I6">
        <f t="shared" si="9"/>
        <v>2867177766.8648014</v>
      </c>
      <c r="K6" s="38" t="s">
        <v>93</v>
      </c>
      <c r="L6" s="40">
        <v>177205</v>
      </c>
      <c r="M6" s="50">
        <v>1692290257</v>
      </c>
      <c r="N6" s="50">
        <v>385820561</v>
      </c>
      <c r="O6" s="50">
        <v>916673706103</v>
      </c>
      <c r="P6" s="41">
        <v>654755</v>
      </c>
      <c r="Z6" s="65">
        <f t="shared" si="2"/>
        <v>165105239.6529001</v>
      </c>
      <c r="AA6">
        <f t="shared" si="3"/>
        <v>1</v>
      </c>
      <c r="AB6">
        <f t="shared" si="4"/>
        <v>2892</v>
      </c>
      <c r="AC6">
        <f t="shared" si="5"/>
        <v>1890</v>
      </c>
      <c r="AD6">
        <f t="shared" si="10"/>
        <v>3572100</v>
      </c>
      <c r="AE6">
        <f t="shared" si="6"/>
        <v>3</v>
      </c>
      <c r="AF6">
        <f t="shared" si="11"/>
        <v>8363664</v>
      </c>
      <c r="AG6">
        <f t="shared" si="12"/>
        <v>12759898410000</v>
      </c>
      <c r="AH6">
        <f t="shared" si="13"/>
        <v>9</v>
      </c>
      <c r="AI6">
        <f t="shared" si="14"/>
        <v>5465880</v>
      </c>
      <c r="AJ6">
        <f t="shared" si="15"/>
        <v>10330513200</v>
      </c>
      <c r="AK6">
        <f t="shared" si="16"/>
        <v>8676</v>
      </c>
      <c r="AL6">
        <f t="shared" si="17"/>
        <v>6751269000</v>
      </c>
      <c r="AM6">
        <f t="shared" si="18"/>
        <v>5670</v>
      </c>
      <c r="AN6">
        <f t="shared" si="19"/>
        <v>10716300</v>
      </c>
      <c r="AO6">
        <f t="shared" si="7"/>
        <v>5.4733218469164627E+17</v>
      </c>
      <c r="AP6">
        <f t="shared" si="20"/>
        <v>9.6493522778656768E+18</v>
      </c>
      <c r="AQ6">
        <f t="shared" si="21"/>
        <v>9.1020200931740303E+18</v>
      </c>
      <c r="AS6" s="40">
        <v>793748</v>
      </c>
      <c r="AT6" s="50">
        <v>16165159010</v>
      </c>
      <c r="AU6" s="50">
        <v>1692290257</v>
      </c>
      <c r="AV6" s="50">
        <v>3972675033601</v>
      </c>
      <c r="AW6" s="50">
        <v>2933767</v>
      </c>
      <c r="AX6">
        <v>912626456115578</v>
      </c>
      <c r="AY6">
        <v>2.9209231566271042E+19</v>
      </c>
      <c r="AZ6">
        <v>11472597</v>
      </c>
      <c r="BA6">
        <v>33312934086857</v>
      </c>
      <c r="BB6">
        <v>7.6125734909052912E+16</v>
      </c>
      <c r="BC6">
        <v>63504640147</v>
      </c>
      <c r="BD6">
        <v>1.0296492756356796E+16</v>
      </c>
      <c r="BE6">
        <v>6540926490</v>
      </c>
      <c r="BF6" s="41">
        <v>16123904904864</v>
      </c>
    </row>
    <row r="7" spans="2:58">
      <c r="B7">
        <v>212000</v>
      </c>
      <c r="C7">
        <v>1</v>
      </c>
      <c r="D7">
        <v>6460</v>
      </c>
      <c r="E7">
        <v>1899</v>
      </c>
      <c r="F7">
        <f t="shared" si="8"/>
        <v>3606201</v>
      </c>
      <c r="G7">
        <v>3</v>
      </c>
      <c r="H7">
        <f t="shared" si="1"/>
        <v>2366173142.7466183</v>
      </c>
      <c r="I7">
        <f t="shared" si="9"/>
        <v>6649755675.9557123</v>
      </c>
      <c r="L7" s="40">
        <v>385820561</v>
      </c>
      <c r="M7" s="50">
        <v>3972675033601</v>
      </c>
      <c r="N7" s="50">
        <v>916673706103</v>
      </c>
      <c r="O7" s="50">
        <v>2382651299058413</v>
      </c>
      <c r="P7" s="41">
        <v>1485901125</v>
      </c>
      <c r="Z7" s="65">
        <f t="shared" si="2"/>
        <v>2366173142.7466183</v>
      </c>
      <c r="AA7">
        <f t="shared" si="3"/>
        <v>1</v>
      </c>
      <c r="AB7">
        <f t="shared" si="4"/>
        <v>6460</v>
      </c>
      <c r="AC7">
        <f t="shared" si="5"/>
        <v>1899</v>
      </c>
      <c r="AD7">
        <f t="shared" si="10"/>
        <v>3606201</v>
      </c>
      <c r="AE7">
        <f t="shared" si="6"/>
        <v>3</v>
      </c>
      <c r="AF7">
        <f t="shared" si="11"/>
        <v>41731600</v>
      </c>
      <c r="AG7">
        <f t="shared" si="12"/>
        <v>13004685652401</v>
      </c>
      <c r="AH7">
        <f t="shared" si="13"/>
        <v>9</v>
      </c>
      <c r="AI7">
        <f t="shared" si="14"/>
        <v>12267540</v>
      </c>
      <c r="AJ7">
        <f t="shared" si="15"/>
        <v>23296058460</v>
      </c>
      <c r="AK7">
        <f t="shared" si="16"/>
        <v>19380</v>
      </c>
      <c r="AL7">
        <f t="shared" si="17"/>
        <v>6848175699</v>
      </c>
      <c r="AM7">
        <f t="shared" si="18"/>
        <v>5697</v>
      </c>
      <c r="AN7">
        <f t="shared" si="19"/>
        <v>10818603</v>
      </c>
      <c r="AO7">
        <f t="shared" si="7"/>
        <v>1.158900026694571E+18</v>
      </c>
      <c r="AP7">
        <f t="shared" si="20"/>
        <v>8.1951875912082752E+17</v>
      </c>
      <c r="AQ7">
        <f t="shared" si="21"/>
        <v>-3.3938126757374349E+17</v>
      </c>
      <c r="AS7" s="40">
        <v>177205</v>
      </c>
      <c r="AT7" s="50">
        <v>1692290257</v>
      </c>
      <c r="AU7" s="50">
        <v>385820561</v>
      </c>
      <c r="AV7" s="50">
        <v>916673706103</v>
      </c>
      <c r="AW7" s="50">
        <v>654755</v>
      </c>
      <c r="AX7">
        <v>33312934086857</v>
      </c>
      <c r="AY7">
        <v>6.7341240708656312E+18</v>
      </c>
      <c r="AZ7">
        <v>2562409</v>
      </c>
      <c r="BA7">
        <v>3972675033601</v>
      </c>
      <c r="BB7">
        <v>1.0296492756356796E+16</v>
      </c>
      <c r="BC7">
        <v>6540926490</v>
      </c>
      <c r="BD7">
        <v>2382651299058413</v>
      </c>
      <c r="BE7">
        <v>1485901125</v>
      </c>
      <c r="BF7" s="41">
        <v>3693408724217</v>
      </c>
    </row>
    <row r="8" spans="2:58">
      <c r="B8">
        <v>240000</v>
      </c>
      <c r="C8">
        <v>1</v>
      </c>
      <c r="D8">
        <v>5922</v>
      </c>
      <c r="E8">
        <v>2000</v>
      </c>
      <c r="F8">
        <f t="shared" si="8"/>
        <v>4000000</v>
      </c>
      <c r="G8">
        <v>4</v>
      </c>
      <c r="H8">
        <f t="shared" si="1"/>
        <v>1837451414.970113</v>
      </c>
      <c r="I8">
        <f t="shared" si="9"/>
        <v>2867177766.8648014</v>
      </c>
      <c r="L8" s="40">
        <v>314</v>
      </c>
      <c r="M8" s="50">
        <v>2933767</v>
      </c>
      <c r="N8" s="50">
        <v>654755</v>
      </c>
      <c r="O8" s="50">
        <v>1485901125</v>
      </c>
      <c r="P8" s="41">
        <v>1182</v>
      </c>
      <c r="Z8">
        <f t="shared" si="2"/>
        <v>1837451414.970113</v>
      </c>
      <c r="AA8">
        <f t="shared" si="3"/>
        <v>1</v>
      </c>
      <c r="AB8">
        <f t="shared" si="4"/>
        <v>5922</v>
      </c>
      <c r="AC8">
        <f t="shared" si="5"/>
        <v>2000</v>
      </c>
      <c r="AD8">
        <f t="shared" si="10"/>
        <v>4000000</v>
      </c>
      <c r="AE8">
        <f t="shared" si="6"/>
        <v>4</v>
      </c>
      <c r="AF8">
        <f t="shared" si="11"/>
        <v>35070084</v>
      </c>
      <c r="AG8">
        <f t="shared" si="12"/>
        <v>16000000000000</v>
      </c>
      <c r="AH8">
        <f t="shared" si="13"/>
        <v>16</v>
      </c>
      <c r="AI8">
        <f t="shared" si="14"/>
        <v>11844000</v>
      </c>
      <c r="AJ8">
        <f t="shared" si="15"/>
        <v>23688000000</v>
      </c>
      <c r="AK8">
        <f t="shared" si="16"/>
        <v>23688</v>
      </c>
      <c r="AL8">
        <f t="shared" si="17"/>
        <v>8000000000</v>
      </c>
      <c r="AM8">
        <f t="shared" si="18"/>
        <v>8000</v>
      </c>
      <c r="AN8">
        <f t="shared" si="19"/>
        <v>16000000</v>
      </c>
      <c r="AO8">
        <f t="shared" si="7"/>
        <v>5.2784795512726528E+17</v>
      </c>
      <c r="AP8">
        <f t="shared" si="20"/>
        <v>2.0563401737434227E+18</v>
      </c>
      <c r="AQ8">
        <f t="shared" si="21"/>
        <v>1.5284922186161574E+18</v>
      </c>
      <c r="AS8" s="40">
        <v>385820561</v>
      </c>
      <c r="AT8" s="50">
        <v>3972675033601</v>
      </c>
      <c r="AU8" s="50">
        <v>916673706103</v>
      </c>
      <c r="AV8" s="50">
        <v>2382651299058413</v>
      </c>
      <c r="AW8" s="50">
        <v>1485901125</v>
      </c>
      <c r="AX8">
        <v>7.6125734909052912E+16</v>
      </c>
      <c r="AY8">
        <v>2.0432479688440934E+22</v>
      </c>
      <c r="AZ8">
        <v>6085751591</v>
      </c>
      <c r="BA8">
        <v>1.0296492756356796E+16</v>
      </c>
      <c r="BB8">
        <v>2.9209231566271042E+19</v>
      </c>
      <c r="BC8">
        <v>16123904904864</v>
      </c>
      <c r="BD8">
        <v>6.7341240708656312E+18</v>
      </c>
      <c r="BE8">
        <v>3693408724217</v>
      </c>
      <c r="BF8" s="41">
        <v>1.0033100457040572E+16</v>
      </c>
    </row>
    <row r="9" spans="2:58">
      <c r="B9">
        <v>225000</v>
      </c>
      <c r="C9">
        <v>1</v>
      </c>
      <c r="D9">
        <v>6003</v>
      </c>
      <c r="E9">
        <v>1768</v>
      </c>
      <c r="F9">
        <f t="shared" si="8"/>
        <v>3125824</v>
      </c>
      <c r="G9">
        <v>3</v>
      </c>
      <c r="H9">
        <f t="shared" si="1"/>
        <v>515908467.79183418</v>
      </c>
      <c r="I9">
        <f t="shared" si="9"/>
        <v>4698558789.5920753</v>
      </c>
      <c r="Z9">
        <f t="shared" si="2"/>
        <v>515908467.79183418</v>
      </c>
      <c r="AA9">
        <f t="shared" si="3"/>
        <v>1</v>
      </c>
      <c r="AB9">
        <f t="shared" si="4"/>
        <v>6003</v>
      </c>
      <c r="AC9">
        <f t="shared" si="5"/>
        <v>1768</v>
      </c>
      <c r="AD9">
        <f t="shared" si="10"/>
        <v>3125824</v>
      </c>
      <c r="AE9">
        <f t="shared" si="6"/>
        <v>3</v>
      </c>
      <c r="AF9">
        <f t="shared" si="11"/>
        <v>36036009</v>
      </c>
      <c r="AG9">
        <f t="shared" si="12"/>
        <v>9770775678976</v>
      </c>
      <c r="AH9">
        <f t="shared" si="13"/>
        <v>9</v>
      </c>
      <c r="AI9">
        <f t="shared" si="14"/>
        <v>10613304</v>
      </c>
      <c r="AJ9">
        <f t="shared" si="15"/>
        <v>18764321472</v>
      </c>
      <c r="AK9">
        <f t="shared" si="16"/>
        <v>18009</v>
      </c>
      <c r="AL9">
        <f t="shared" si="17"/>
        <v>5526456832</v>
      </c>
      <c r="AM9">
        <f t="shared" si="18"/>
        <v>5304</v>
      </c>
      <c r="AN9">
        <f t="shared" si="19"/>
        <v>9377472</v>
      </c>
      <c r="AO9">
        <f t="shared" si="7"/>
        <v>3.1404531785554586E+18</v>
      </c>
      <c r="AP9">
        <f t="shared" si="20"/>
        <v>7.5929865223283794E+18</v>
      </c>
      <c r="AQ9">
        <f t="shared" si="21"/>
        <v>4.4525333437729208E+18</v>
      </c>
      <c r="AS9" s="40">
        <v>314</v>
      </c>
      <c r="AT9" s="50">
        <v>2933767</v>
      </c>
      <c r="AU9" s="50">
        <v>654755</v>
      </c>
      <c r="AV9" s="50">
        <v>1485901125</v>
      </c>
      <c r="AW9" s="50">
        <v>1182</v>
      </c>
      <c r="AX9">
        <v>63504640147</v>
      </c>
      <c r="AY9">
        <v>1.0033100457040572E+16</v>
      </c>
      <c r="AZ9">
        <v>4712</v>
      </c>
      <c r="BA9">
        <v>6540926490</v>
      </c>
      <c r="BB9">
        <v>16123904904864</v>
      </c>
      <c r="BC9">
        <v>11472597</v>
      </c>
      <c r="BD9">
        <v>3693408724217</v>
      </c>
      <c r="BE9">
        <v>2562409</v>
      </c>
      <c r="BF9" s="41">
        <v>6085751591</v>
      </c>
    </row>
    <row r="10" spans="2:58">
      <c r="B10">
        <v>150000</v>
      </c>
      <c r="C10">
        <v>1</v>
      </c>
      <c r="D10">
        <v>5218</v>
      </c>
      <c r="E10">
        <v>1732</v>
      </c>
      <c r="F10">
        <f t="shared" si="8"/>
        <v>2999824</v>
      </c>
      <c r="G10">
        <v>4</v>
      </c>
      <c r="H10">
        <f t="shared" si="1"/>
        <v>11317817713.078045</v>
      </c>
      <c r="I10">
        <f t="shared" si="9"/>
        <v>20605463903.228443</v>
      </c>
      <c r="L10" s="40">
        <f t="array" ref="L10:P14">MINVERSE(L4:P8)</f>
        <v>1.9336220059191602</v>
      </c>
      <c r="M10" s="50">
        <v>-1.5551698829266117E-6</v>
      </c>
      <c r="N10" s="50">
        <v>-1.5420288973980317E-3</v>
      </c>
      <c r="O10" s="50">
        <v>3.1468133829094655E-7</v>
      </c>
      <c r="P10" s="41">
        <v>-5.1208991238466728E-2</v>
      </c>
      <c r="Z10">
        <f t="shared" si="2"/>
        <v>11317817713.078045</v>
      </c>
      <c r="AA10">
        <f t="shared" si="3"/>
        <v>1</v>
      </c>
      <c r="AB10">
        <f t="shared" si="4"/>
        <v>5218</v>
      </c>
      <c r="AC10">
        <f t="shared" si="5"/>
        <v>1732</v>
      </c>
      <c r="AD10">
        <f t="shared" si="10"/>
        <v>2999824</v>
      </c>
      <c r="AE10">
        <f t="shared" si="6"/>
        <v>4</v>
      </c>
      <c r="AF10">
        <f t="shared" si="11"/>
        <v>27227524</v>
      </c>
      <c r="AG10">
        <f t="shared" si="12"/>
        <v>8998944030976</v>
      </c>
      <c r="AH10">
        <f t="shared" si="13"/>
        <v>16</v>
      </c>
      <c r="AI10">
        <f t="shared" si="14"/>
        <v>9037576</v>
      </c>
      <c r="AJ10">
        <f t="shared" si="15"/>
        <v>15653081632</v>
      </c>
      <c r="AK10">
        <f t="shared" si="16"/>
        <v>20872</v>
      </c>
      <c r="AL10">
        <f t="shared" si="17"/>
        <v>5195695168</v>
      </c>
      <c r="AM10">
        <f t="shared" si="18"/>
        <v>6928</v>
      </c>
      <c r="AN10">
        <f t="shared" si="19"/>
        <v>11999296</v>
      </c>
      <c r="AO10">
        <f t="shared" si="7"/>
        <v>7.0285485658342973E+19</v>
      </c>
      <c r="AP10">
        <f t="shared" si="20"/>
        <v>6.4744099406776402E+19</v>
      </c>
      <c r="AQ10">
        <f t="shared" si="21"/>
        <v>-5.5413862515665715E+18</v>
      </c>
      <c r="AS10" s="40">
        <v>16165159010</v>
      </c>
      <c r="AT10">
        <v>912626456115578</v>
      </c>
      <c r="AU10">
        <v>33312934086857</v>
      </c>
      <c r="AV10">
        <v>7.6125734909052912E+16</v>
      </c>
      <c r="AW10">
        <v>63504640147</v>
      </c>
      <c r="AX10">
        <v>7.6191825507574776E+19</v>
      </c>
      <c r="AY10">
        <v>5.5614564897580883E+23</v>
      </c>
      <c r="AZ10">
        <v>257971127413</v>
      </c>
      <c r="BA10">
        <v>1.6770904159660227E+18</v>
      </c>
      <c r="BB10">
        <v>3.2880842463107529E+21</v>
      </c>
      <c r="BC10">
        <v>3665517352454143</v>
      </c>
      <c r="BD10">
        <v>1.951031503339287E+20</v>
      </c>
      <c r="BE10">
        <v>135238350522082</v>
      </c>
      <c r="BF10" s="41">
        <v>3.2176108502827501E+17</v>
      </c>
    </row>
    <row r="11" spans="2:58">
      <c r="B11">
        <v>275000</v>
      </c>
      <c r="C11">
        <v>1</v>
      </c>
      <c r="D11">
        <v>6114</v>
      </c>
      <c r="E11">
        <v>1932</v>
      </c>
      <c r="F11">
        <f t="shared" si="8"/>
        <v>3732624</v>
      </c>
      <c r="G11">
        <v>3</v>
      </c>
      <c r="H11">
        <f t="shared" si="1"/>
        <v>140367199.23595107</v>
      </c>
      <c r="I11">
        <f t="shared" si="9"/>
        <v>343955380.50116318</v>
      </c>
      <c r="L11" s="40">
        <v>-1.5551698829266193E-6</v>
      </c>
      <c r="M11" s="50">
        <v>1.1636307315964573E-10</v>
      </c>
      <c r="N11" s="50">
        <v>9.4989609726995697E-10</v>
      </c>
      <c r="O11" s="50">
        <v>-2.6396178373375467E-13</v>
      </c>
      <c r="P11" s="41">
        <v>-7.0039685766833134E-8</v>
      </c>
      <c r="Z11">
        <f t="shared" si="2"/>
        <v>140367199.23595107</v>
      </c>
      <c r="AA11">
        <f t="shared" si="3"/>
        <v>1</v>
      </c>
      <c r="AB11">
        <f t="shared" si="4"/>
        <v>6114</v>
      </c>
      <c r="AC11">
        <f t="shared" si="5"/>
        <v>1932</v>
      </c>
      <c r="AD11">
        <f t="shared" si="10"/>
        <v>3732624</v>
      </c>
      <c r="AE11">
        <f t="shared" si="6"/>
        <v>3</v>
      </c>
      <c r="AF11">
        <f t="shared" si="11"/>
        <v>37380996</v>
      </c>
      <c r="AG11">
        <f t="shared" si="12"/>
        <v>13932481925376</v>
      </c>
      <c r="AH11">
        <f t="shared" si="13"/>
        <v>9</v>
      </c>
      <c r="AI11">
        <f t="shared" si="14"/>
        <v>11812248</v>
      </c>
      <c r="AJ11">
        <f t="shared" si="15"/>
        <v>22821263136</v>
      </c>
      <c r="AK11">
        <f t="shared" si="16"/>
        <v>18342</v>
      </c>
      <c r="AL11">
        <f t="shared" si="17"/>
        <v>7211429568</v>
      </c>
      <c r="AM11">
        <f t="shared" si="18"/>
        <v>5796</v>
      </c>
      <c r="AN11">
        <f t="shared" si="19"/>
        <v>11197872</v>
      </c>
      <c r="AO11">
        <f t="shared" si="7"/>
        <v>7.3127044836986765E+17</v>
      </c>
      <c r="AP11">
        <f t="shared" si="20"/>
        <v>9.8036538099569623E+18</v>
      </c>
      <c r="AQ11">
        <f t="shared" si="21"/>
        <v>9.0723833615870945E+18</v>
      </c>
      <c r="AR11" s="38" t="s">
        <v>93</v>
      </c>
      <c r="AS11" s="40">
        <v>2382651299058413</v>
      </c>
      <c r="AT11">
        <v>2.9209231566271042E+19</v>
      </c>
      <c r="AU11">
        <v>6.7341240708656312E+18</v>
      </c>
      <c r="AV11">
        <v>2.0432479688440934E+22</v>
      </c>
      <c r="AW11">
        <v>1.0033100457040572E+16</v>
      </c>
      <c r="AX11">
        <v>5.5614564897580883E+23</v>
      </c>
      <c r="AY11">
        <v>2.1912511875237523E+29</v>
      </c>
      <c r="AZ11">
        <v>4.50117091331256E+16</v>
      </c>
      <c r="BA11">
        <v>8.9203494323841122E+22</v>
      </c>
      <c r="BB11">
        <v>2.8793674223013137E+26</v>
      </c>
      <c r="BC11">
        <v>1.2936100045176154E+20</v>
      </c>
      <c r="BD11">
        <v>6.5542282261348452E+25</v>
      </c>
      <c r="BE11">
        <v>2.9474095767562248E+19</v>
      </c>
      <c r="BF11" s="41">
        <v>9.2229744967756496E+22</v>
      </c>
    </row>
    <row r="12" spans="2:58" ht="17.25">
      <c r="B12">
        <v>230000</v>
      </c>
      <c r="C12">
        <v>1</v>
      </c>
      <c r="D12">
        <v>6710</v>
      </c>
      <c r="E12">
        <v>1932</v>
      </c>
      <c r="F12">
        <f t="shared" si="8"/>
        <v>3732624</v>
      </c>
      <c r="G12">
        <v>3</v>
      </c>
      <c r="H12">
        <f t="shared" si="1"/>
        <v>1177246853.1991084</v>
      </c>
      <c r="I12">
        <f t="shared" si="9"/>
        <v>4038098448.6829839</v>
      </c>
      <c r="K12" s="38" t="s">
        <v>94</v>
      </c>
      <c r="L12" s="40">
        <v>-1.5420288973980395E-3</v>
      </c>
      <c r="M12" s="50">
        <v>9.4989609726995966E-10</v>
      </c>
      <c r="N12" s="50">
        <v>1.3940228024923877E-6</v>
      </c>
      <c r="O12" s="50">
        <v>-2.8065914097662117E-10</v>
      </c>
      <c r="P12" s="41">
        <v>-1.2099295065840277E-5</v>
      </c>
      <c r="Z12">
        <f t="shared" si="2"/>
        <v>1177246853.1991084</v>
      </c>
      <c r="AA12">
        <f t="shared" si="3"/>
        <v>1</v>
      </c>
      <c r="AB12">
        <f t="shared" si="4"/>
        <v>6710</v>
      </c>
      <c r="AC12">
        <f t="shared" si="5"/>
        <v>1932</v>
      </c>
      <c r="AD12">
        <f t="shared" si="10"/>
        <v>3732624</v>
      </c>
      <c r="AE12">
        <f t="shared" si="6"/>
        <v>3</v>
      </c>
      <c r="AF12">
        <f t="shared" si="11"/>
        <v>45024100</v>
      </c>
      <c r="AG12">
        <f t="shared" si="12"/>
        <v>13932481925376</v>
      </c>
      <c r="AH12">
        <f t="shared" si="13"/>
        <v>9</v>
      </c>
      <c r="AI12">
        <f t="shared" si="14"/>
        <v>12963720</v>
      </c>
      <c r="AJ12">
        <f t="shared" si="15"/>
        <v>25045907040</v>
      </c>
      <c r="AK12">
        <f t="shared" si="16"/>
        <v>20130</v>
      </c>
      <c r="AL12">
        <f t="shared" si="17"/>
        <v>7211429568</v>
      </c>
      <c r="AM12">
        <f t="shared" si="18"/>
        <v>5796</v>
      </c>
      <c r="AN12">
        <f t="shared" si="19"/>
        <v>11197872</v>
      </c>
      <c r="AO12">
        <f t="shared" si="7"/>
        <v>8449766753437730</v>
      </c>
      <c r="AP12">
        <f t="shared" si="20"/>
        <v>4.3856696339631109E+18</v>
      </c>
      <c r="AQ12">
        <f t="shared" si="21"/>
        <v>4.3772198672096732E+18</v>
      </c>
      <c r="AS12" s="40">
        <v>1182</v>
      </c>
      <c r="AT12">
        <v>11472597</v>
      </c>
      <c r="AU12">
        <v>2562409</v>
      </c>
      <c r="AV12">
        <v>6085751591</v>
      </c>
      <c r="AW12">
        <v>4712</v>
      </c>
      <c r="AX12">
        <v>257971127413</v>
      </c>
      <c r="AY12">
        <v>4.50117091331256E+16</v>
      </c>
      <c r="AZ12">
        <v>19986</v>
      </c>
      <c r="BA12">
        <v>26789986990</v>
      </c>
      <c r="BB12">
        <v>69276972095036</v>
      </c>
      <c r="BC12">
        <v>47335429</v>
      </c>
      <c r="BD12">
        <v>15861353017327</v>
      </c>
      <c r="BE12">
        <v>10663001</v>
      </c>
      <c r="BF12" s="41">
        <v>26588498187</v>
      </c>
    </row>
    <row r="13" spans="2:58">
      <c r="B13">
        <v>335000</v>
      </c>
      <c r="C13">
        <v>1</v>
      </c>
      <c r="D13">
        <v>15086</v>
      </c>
      <c r="E13">
        <v>2829</v>
      </c>
      <c r="F13">
        <f t="shared" si="8"/>
        <v>8003241</v>
      </c>
      <c r="G13">
        <v>4</v>
      </c>
      <c r="H13">
        <f t="shared" si="1"/>
        <v>4663897789.6536894</v>
      </c>
      <c r="I13">
        <f t="shared" si="9"/>
        <v>1718431289.5920691</v>
      </c>
      <c r="L13" s="40">
        <v>3.1468133829094792E-7</v>
      </c>
      <c r="M13" s="50">
        <v>-2.6396178373375361E-13</v>
      </c>
      <c r="N13" s="50">
        <v>-2.8065914097662091E-10</v>
      </c>
      <c r="O13" s="50">
        <v>5.8561380451697888E-14</v>
      </c>
      <c r="P13" s="41">
        <v>-1.0905102348239682E-9</v>
      </c>
      <c r="Z13">
        <f t="shared" si="2"/>
        <v>4663897789.6536894</v>
      </c>
      <c r="AA13">
        <f t="shared" si="3"/>
        <v>1</v>
      </c>
      <c r="AB13">
        <f t="shared" si="4"/>
        <v>15086</v>
      </c>
      <c r="AC13">
        <f t="shared" si="5"/>
        <v>2829</v>
      </c>
      <c r="AD13">
        <f t="shared" si="10"/>
        <v>8003241</v>
      </c>
      <c r="AE13">
        <f t="shared" si="6"/>
        <v>4</v>
      </c>
      <c r="AF13">
        <f t="shared" si="11"/>
        <v>227587396</v>
      </c>
      <c r="AG13">
        <f t="shared" si="12"/>
        <v>64051866504081</v>
      </c>
      <c r="AH13">
        <f t="shared" si="13"/>
        <v>16</v>
      </c>
      <c r="AI13">
        <f t="shared" si="14"/>
        <v>42678294</v>
      </c>
      <c r="AJ13">
        <f t="shared" si="15"/>
        <v>120736893726</v>
      </c>
      <c r="AK13">
        <f t="shared" si="16"/>
        <v>60344</v>
      </c>
      <c r="AL13">
        <f t="shared" si="17"/>
        <v>22641168789</v>
      </c>
      <c r="AM13">
        <f t="shared" si="18"/>
        <v>11316</v>
      </c>
      <c r="AN13">
        <f t="shared" si="19"/>
        <v>32012964</v>
      </c>
      <c r="AO13">
        <f t="shared" si="7"/>
        <v>2.7207807620456026E+19</v>
      </c>
      <c r="AP13">
        <f t="shared" si="20"/>
        <v>1.9389222740818918E+18</v>
      </c>
      <c r="AQ13">
        <f t="shared" si="21"/>
        <v>-2.5268885346374136E+19</v>
      </c>
      <c r="AS13" s="40">
        <v>1692290257</v>
      </c>
      <c r="AT13">
        <v>33312934086857</v>
      </c>
      <c r="AU13">
        <v>3972675033601</v>
      </c>
      <c r="AV13">
        <v>1.0296492756356796E+16</v>
      </c>
      <c r="AW13">
        <v>6540926490</v>
      </c>
      <c r="AX13">
        <v>1.6770904159660227E+18</v>
      </c>
      <c r="AY13">
        <v>8.9203494323841122E+22</v>
      </c>
      <c r="AZ13">
        <v>26789986990</v>
      </c>
      <c r="BA13">
        <v>7.6125734909052912E+16</v>
      </c>
      <c r="BB13">
        <v>1.951031503339287E+20</v>
      </c>
      <c r="BC13">
        <v>135238350522082</v>
      </c>
      <c r="BD13">
        <v>2.9209231566271042E+19</v>
      </c>
      <c r="BE13">
        <v>16123904904864</v>
      </c>
      <c r="BF13" s="41">
        <v>4.3806717546869224E+16</v>
      </c>
    </row>
    <row r="14" spans="2:58">
      <c r="B14">
        <v>190000</v>
      </c>
      <c r="C14">
        <v>1</v>
      </c>
      <c r="D14">
        <v>3500</v>
      </c>
      <c r="E14">
        <v>1702</v>
      </c>
      <c r="F14">
        <f t="shared" si="8"/>
        <v>2896804</v>
      </c>
      <c r="G14">
        <v>4</v>
      </c>
      <c r="H14">
        <f t="shared" si="1"/>
        <v>3657750757.0079279</v>
      </c>
      <c r="I14">
        <f t="shared" si="9"/>
        <v>10721781175.955713</v>
      </c>
      <c r="L14" s="40">
        <v>-5.1208991238463772E-2</v>
      </c>
      <c r="M14" s="50">
        <v>-7.0039685766835543E-8</v>
      </c>
      <c r="N14" s="50">
        <v>-1.2099295065842867E-5</v>
      </c>
      <c r="O14" s="50">
        <v>-1.0905102348234458E-9</v>
      </c>
      <c r="P14" s="41">
        <v>2.2696757777711379E-2</v>
      </c>
      <c r="Z14">
        <f t="shared" si="2"/>
        <v>3657750757.0079279</v>
      </c>
      <c r="AA14">
        <f t="shared" si="3"/>
        <v>1</v>
      </c>
      <c r="AB14">
        <f t="shared" si="4"/>
        <v>3500</v>
      </c>
      <c r="AC14">
        <f t="shared" si="5"/>
        <v>1702</v>
      </c>
      <c r="AD14">
        <f t="shared" si="10"/>
        <v>2896804</v>
      </c>
      <c r="AE14">
        <f t="shared" si="6"/>
        <v>4</v>
      </c>
      <c r="AF14">
        <f t="shared" si="11"/>
        <v>12250000</v>
      </c>
      <c r="AG14">
        <f t="shared" si="12"/>
        <v>8391473414416</v>
      </c>
      <c r="AH14">
        <f t="shared" si="13"/>
        <v>16</v>
      </c>
      <c r="AI14">
        <f t="shared" si="14"/>
        <v>5957000</v>
      </c>
      <c r="AJ14">
        <f t="shared" si="15"/>
        <v>10138814000</v>
      </c>
      <c r="AK14">
        <f t="shared" si="16"/>
        <v>14000</v>
      </c>
      <c r="AL14">
        <f t="shared" si="17"/>
        <v>4930360408</v>
      </c>
      <c r="AM14">
        <f t="shared" si="18"/>
        <v>6808</v>
      </c>
      <c r="AN14">
        <f t="shared" si="19"/>
        <v>11587216</v>
      </c>
      <c r="AO14">
        <f t="shared" si="7"/>
        <v>8.210651359608064E+17</v>
      </c>
      <c r="AP14">
        <f t="shared" si="20"/>
        <v>1.492314450674487E+17</v>
      </c>
      <c r="AQ14">
        <f t="shared" si="21"/>
        <v>-6.718336908933577E+17</v>
      </c>
      <c r="AS14" s="40">
        <v>3972675033601</v>
      </c>
      <c r="AT14">
        <v>7.6125734909052912E+16</v>
      </c>
      <c r="AU14">
        <v>1.0296492756356796E+16</v>
      </c>
      <c r="AV14">
        <v>2.9209231566271042E+19</v>
      </c>
      <c r="AW14">
        <v>16123904904864</v>
      </c>
      <c r="AX14">
        <v>3.2880842463107529E+21</v>
      </c>
      <c r="AY14">
        <v>2.8793674223013137E+26</v>
      </c>
      <c r="AZ14">
        <v>69276972095036</v>
      </c>
      <c r="BA14">
        <v>1.951031503339287E+20</v>
      </c>
      <c r="BB14">
        <v>5.5614564897580883E+23</v>
      </c>
      <c r="BC14">
        <v>3.2176108502827501E+17</v>
      </c>
      <c r="BD14">
        <v>8.9203494323841122E+22</v>
      </c>
      <c r="BE14">
        <v>4.3806717546869224E+16</v>
      </c>
      <c r="BF14" s="41">
        <v>1.2936100045176154E+20</v>
      </c>
    </row>
    <row r="15" spans="2:58">
      <c r="B15">
        <v>225000</v>
      </c>
      <c r="C15">
        <v>1</v>
      </c>
      <c r="D15">
        <v>8880</v>
      </c>
      <c r="E15">
        <v>1421</v>
      </c>
      <c r="F15">
        <f t="shared" si="8"/>
        <v>2019241</v>
      </c>
      <c r="G15">
        <v>2</v>
      </c>
      <c r="H15">
        <f t="shared" si="1"/>
        <v>153337446.74698278</v>
      </c>
      <c r="I15">
        <f t="shared" si="9"/>
        <v>4698558789.5920753</v>
      </c>
      <c r="Z15">
        <f t="shared" si="2"/>
        <v>153337446.74698278</v>
      </c>
      <c r="AA15">
        <f t="shared" si="3"/>
        <v>1</v>
      </c>
      <c r="AB15">
        <f t="shared" si="4"/>
        <v>8880</v>
      </c>
      <c r="AC15">
        <f t="shared" si="5"/>
        <v>1421</v>
      </c>
      <c r="AD15">
        <f t="shared" si="10"/>
        <v>2019241</v>
      </c>
      <c r="AE15">
        <f t="shared" si="6"/>
        <v>2</v>
      </c>
      <c r="AF15">
        <f t="shared" si="11"/>
        <v>78854400</v>
      </c>
      <c r="AG15">
        <f t="shared" si="12"/>
        <v>4077334216081</v>
      </c>
      <c r="AH15">
        <f t="shared" si="13"/>
        <v>4</v>
      </c>
      <c r="AI15">
        <f t="shared" si="14"/>
        <v>12618480</v>
      </c>
      <c r="AJ15">
        <f t="shared" si="15"/>
        <v>17930860080</v>
      </c>
      <c r="AK15">
        <f t="shared" si="16"/>
        <v>17760</v>
      </c>
      <c r="AL15">
        <f t="shared" si="17"/>
        <v>2869341461</v>
      </c>
      <c r="AM15">
        <f t="shared" si="18"/>
        <v>2842</v>
      </c>
      <c r="AN15">
        <f t="shared" si="19"/>
        <v>4038482</v>
      </c>
      <c r="AO15">
        <f t="shared" si="7"/>
        <v>1.1305310058691474E+18</v>
      </c>
      <c r="AP15">
        <f t="shared" si="20"/>
        <v>9.7226003059111956E+18</v>
      </c>
      <c r="AQ15">
        <f t="shared" si="21"/>
        <v>8.5920693000420485E+18</v>
      </c>
      <c r="AS15" s="40">
        <v>2933767</v>
      </c>
      <c r="AT15">
        <v>63504640147</v>
      </c>
      <c r="AU15">
        <v>6540926490</v>
      </c>
      <c r="AV15">
        <v>16123904904864</v>
      </c>
      <c r="AW15">
        <v>11472597</v>
      </c>
      <c r="AX15">
        <v>3665517352454143</v>
      </c>
      <c r="AY15">
        <v>1.2936100045176154E+20</v>
      </c>
      <c r="AZ15">
        <v>47335429</v>
      </c>
      <c r="BA15">
        <v>135238350522082</v>
      </c>
      <c r="BB15">
        <v>3.2176108502827501E+17</v>
      </c>
      <c r="BC15">
        <v>257971127413</v>
      </c>
      <c r="BD15">
        <v>4.3806717546869224E+16</v>
      </c>
      <c r="BE15">
        <v>26789986990</v>
      </c>
      <c r="BF15" s="41">
        <v>69276972095036</v>
      </c>
    </row>
    <row r="16" spans="2:58">
      <c r="B16">
        <v>230000</v>
      </c>
      <c r="C16">
        <v>1</v>
      </c>
      <c r="D16">
        <v>5305</v>
      </c>
      <c r="E16">
        <v>1171</v>
      </c>
      <c r="F16">
        <f t="shared" si="8"/>
        <v>1371241</v>
      </c>
      <c r="G16">
        <v>3</v>
      </c>
      <c r="H16">
        <f t="shared" si="1"/>
        <v>707677605.4705584</v>
      </c>
      <c r="I16">
        <f t="shared" si="9"/>
        <v>4038098448.6829839</v>
      </c>
      <c r="L16" s="42">
        <f t="array" ref="L16:L20">MMULT(TRANSPOSE(C4:G91),B4:B91)</f>
        <v>25832051</v>
      </c>
      <c r="Z16">
        <f t="shared" si="2"/>
        <v>707677605.4705584</v>
      </c>
      <c r="AA16">
        <f t="shared" si="3"/>
        <v>1</v>
      </c>
      <c r="AB16">
        <f t="shared" si="4"/>
        <v>5305</v>
      </c>
      <c r="AC16">
        <f t="shared" si="5"/>
        <v>1171</v>
      </c>
      <c r="AD16">
        <f t="shared" si="10"/>
        <v>1371241</v>
      </c>
      <c r="AE16">
        <f t="shared" si="6"/>
        <v>3</v>
      </c>
      <c r="AF16">
        <f t="shared" si="11"/>
        <v>28143025</v>
      </c>
      <c r="AG16">
        <f t="shared" si="12"/>
        <v>1880301880081</v>
      </c>
      <c r="AH16">
        <f t="shared" si="13"/>
        <v>9</v>
      </c>
      <c r="AI16">
        <f t="shared" si="14"/>
        <v>6212155</v>
      </c>
      <c r="AJ16">
        <f t="shared" si="15"/>
        <v>7274433505</v>
      </c>
      <c r="AK16">
        <f t="shared" si="16"/>
        <v>15915</v>
      </c>
      <c r="AL16">
        <f t="shared" si="17"/>
        <v>1605723211</v>
      </c>
      <c r="AM16">
        <f t="shared" si="18"/>
        <v>3513</v>
      </c>
      <c r="AN16">
        <f t="shared" si="19"/>
        <v>4113723</v>
      </c>
      <c r="AO16">
        <f t="shared" si="7"/>
        <v>2.4782200695123384E+18</v>
      </c>
      <c r="AP16">
        <f t="shared" si="20"/>
        <v>6.5729078513131551E+18</v>
      </c>
      <c r="AQ16">
        <f t="shared" si="21"/>
        <v>4.0946877818008166E+18</v>
      </c>
      <c r="AS16" s="40">
        <v>916673706103</v>
      </c>
      <c r="AT16">
        <v>1.0296492756356796E+16</v>
      </c>
      <c r="AU16">
        <v>2382651299058413</v>
      </c>
      <c r="AV16">
        <v>6.7341240708656312E+18</v>
      </c>
      <c r="AW16">
        <v>3693408724217</v>
      </c>
      <c r="AX16">
        <v>1.951031503339287E+20</v>
      </c>
      <c r="AY16">
        <v>6.5542282261348452E+25</v>
      </c>
      <c r="AZ16">
        <v>15861353017327</v>
      </c>
      <c r="BA16">
        <v>2.9209231566271042E+19</v>
      </c>
      <c r="BB16">
        <v>8.9203494323841122E+22</v>
      </c>
      <c r="BC16">
        <v>4.3806717546869224E+16</v>
      </c>
      <c r="BD16">
        <v>2.0432479688440934E+22</v>
      </c>
      <c r="BE16">
        <v>1.0033100457040572E+16</v>
      </c>
      <c r="BF16" s="41">
        <v>2.9474095767562248E+19</v>
      </c>
    </row>
    <row r="17" spans="2:58">
      <c r="B17">
        <v>313000</v>
      </c>
      <c r="C17">
        <v>1</v>
      </c>
      <c r="D17">
        <v>1000</v>
      </c>
      <c r="E17">
        <v>2768</v>
      </c>
      <c r="F17">
        <f t="shared" si="8"/>
        <v>7661824</v>
      </c>
      <c r="G17">
        <v>3</v>
      </c>
      <c r="H17">
        <f t="shared" si="1"/>
        <v>1659013191.5298469</v>
      </c>
      <c r="I17">
        <f t="shared" si="9"/>
        <v>378456789.59207022</v>
      </c>
      <c r="L17" s="42">
        <v>264561065225</v>
      </c>
      <c r="Z17">
        <f t="shared" si="2"/>
        <v>1659013191.5298469</v>
      </c>
      <c r="AA17">
        <f t="shared" si="3"/>
        <v>1</v>
      </c>
      <c r="AB17">
        <f t="shared" si="4"/>
        <v>1000</v>
      </c>
      <c r="AC17">
        <f t="shared" si="5"/>
        <v>2768</v>
      </c>
      <c r="AD17">
        <f t="shared" si="10"/>
        <v>7661824</v>
      </c>
      <c r="AE17">
        <f t="shared" si="6"/>
        <v>3</v>
      </c>
      <c r="AF17">
        <f t="shared" si="11"/>
        <v>1000000</v>
      </c>
      <c r="AG17">
        <f t="shared" si="12"/>
        <v>58703547006976</v>
      </c>
      <c r="AH17">
        <f t="shared" si="13"/>
        <v>9</v>
      </c>
      <c r="AI17">
        <f t="shared" si="14"/>
        <v>2768000</v>
      </c>
      <c r="AJ17">
        <f t="shared" si="15"/>
        <v>7661824000</v>
      </c>
      <c r="AK17">
        <f t="shared" si="16"/>
        <v>3000</v>
      </c>
      <c r="AL17">
        <f t="shared" si="17"/>
        <v>21207928832</v>
      </c>
      <c r="AM17">
        <f t="shared" si="18"/>
        <v>8304</v>
      </c>
      <c r="AN17">
        <f t="shared" si="19"/>
        <v>22985472</v>
      </c>
      <c r="AO17">
        <f t="shared" si="7"/>
        <v>1.5397468495635868E+18</v>
      </c>
      <c r="AP17">
        <f t="shared" si="20"/>
        <v>2.5999392288278871E+18</v>
      </c>
      <c r="AQ17">
        <f t="shared" si="21"/>
        <v>1.0601923792643003E+18</v>
      </c>
      <c r="AS17" s="40">
        <v>654755</v>
      </c>
      <c r="AT17">
        <v>6540926490</v>
      </c>
      <c r="AU17">
        <v>1485901125</v>
      </c>
      <c r="AV17">
        <v>3693408724217</v>
      </c>
      <c r="AW17">
        <v>2562409</v>
      </c>
      <c r="AX17">
        <v>135238350522082</v>
      </c>
      <c r="AY17">
        <v>2.9474095767562248E+19</v>
      </c>
      <c r="AZ17">
        <v>10663001</v>
      </c>
      <c r="BA17">
        <v>16123904904864</v>
      </c>
      <c r="BB17">
        <v>4.3806717546869224E+16</v>
      </c>
      <c r="BC17">
        <v>26789986990</v>
      </c>
      <c r="BD17">
        <v>1.0033100457040572E+16</v>
      </c>
      <c r="BE17">
        <v>6085751591</v>
      </c>
      <c r="BF17" s="41">
        <v>15861353017327</v>
      </c>
    </row>
    <row r="18" spans="2:58">
      <c r="B18">
        <v>417500</v>
      </c>
      <c r="C18">
        <v>1</v>
      </c>
      <c r="D18">
        <v>8112</v>
      </c>
      <c r="E18">
        <v>3733</v>
      </c>
      <c r="F18">
        <f t="shared" si="8"/>
        <v>13935289</v>
      </c>
      <c r="G18">
        <v>4</v>
      </c>
      <c r="H18">
        <f t="shared" si="1"/>
        <v>16149924068.719105</v>
      </c>
      <c r="I18">
        <f t="shared" si="9"/>
        <v>15364585664.592064</v>
      </c>
      <c r="K18" s="38" t="s">
        <v>95</v>
      </c>
      <c r="L18" s="42">
        <v>56081708454</v>
      </c>
      <c r="Z18">
        <f t="shared" si="2"/>
        <v>16149924068.719105</v>
      </c>
      <c r="AA18">
        <f t="shared" si="3"/>
        <v>1</v>
      </c>
      <c r="AB18">
        <f t="shared" si="4"/>
        <v>8112</v>
      </c>
      <c r="AC18">
        <f t="shared" si="5"/>
        <v>3733</v>
      </c>
      <c r="AD18">
        <f t="shared" si="10"/>
        <v>13935289</v>
      </c>
      <c r="AE18">
        <f t="shared" si="6"/>
        <v>4</v>
      </c>
      <c r="AF18">
        <f t="shared" si="11"/>
        <v>65804544</v>
      </c>
      <c r="AG18">
        <f t="shared" si="12"/>
        <v>194192279513521</v>
      </c>
      <c r="AH18">
        <f t="shared" si="13"/>
        <v>16</v>
      </c>
      <c r="AI18">
        <f t="shared" si="14"/>
        <v>30282096</v>
      </c>
      <c r="AJ18">
        <f t="shared" si="15"/>
        <v>113043064368</v>
      </c>
      <c r="AK18">
        <f t="shared" si="16"/>
        <v>32448</v>
      </c>
      <c r="AL18">
        <f t="shared" si="17"/>
        <v>52020433837</v>
      </c>
      <c r="AM18">
        <f t="shared" si="18"/>
        <v>14932</v>
      </c>
      <c r="AN18">
        <f t="shared" si="19"/>
        <v>55741156</v>
      </c>
      <c r="AO18">
        <f t="shared" si="7"/>
        <v>6.5235853384700674E+19</v>
      </c>
      <c r="AP18">
        <f t="shared" si="20"/>
        <v>1.6585520002616977E+20</v>
      </c>
      <c r="AQ18">
        <f t="shared" si="21"/>
        <v>1.006193466414691E+20</v>
      </c>
      <c r="AS18" s="40">
        <v>1485901125</v>
      </c>
      <c r="AT18">
        <v>16123904904864</v>
      </c>
      <c r="AU18">
        <v>3693408724217</v>
      </c>
      <c r="AV18">
        <v>1.0033100457040572E+16</v>
      </c>
      <c r="AW18">
        <v>6085751591</v>
      </c>
      <c r="AX18">
        <v>3.2176108502827501E+17</v>
      </c>
      <c r="AY18">
        <v>9.2229744967756496E+22</v>
      </c>
      <c r="AZ18">
        <v>26588498187</v>
      </c>
      <c r="BA18">
        <v>4.3806717546869224E+16</v>
      </c>
      <c r="BB18">
        <v>1.2936100045176154E+20</v>
      </c>
      <c r="BC18">
        <v>69276972095036</v>
      </c>
      <c r="BD18">
        <v>2.9474095767562248E+19</v>
      </c>
      <c r="BE18">
        <v>15861353017327</v>
      </c>
      <c r="BF18" s="41">
        <v>4.50117091331256E+16</v>
      </c>
    </row>
    <row r="19" spans="2:58">
      <c r="B19">
        <v>255000</v>
      </c>
      <c r="C19">
        <v>1</v>
      </c>
      <c r="D19">
        <v>15267</v>
      </c>
      <c r="E19">
        <v>1478</v>
      </c>
      <c r="F19">
        <f t="shared" si="8"/>
        <v>2184484</v>
      </c>
      <c r="G19">
        <v>2</v>
      </c>
      <c r="H19">
        <f t="shared" si="1"/>
        <v>672196351.4084301</v>
      </c>
      <c r="I19">
        <f t="shared" si="9"/>
        <v>1485796744.1375279</v>
      </c>
      <c r="L19" s="42">
        <v>133414092020966</v>
      </c>
      <c r="Z19">
        <f t="shared" si="2"/>
        <v>672196351.4084301</v>
      </c>
      <c r="AA19">
        <f t="shared" si="3"/>
        <v>1</v>
      </c>
      <c r="AB19">
        <f t="shared" si="4"/>
        <v>15267</v>
      </c>
      <c r="AC19">
        <f t="shared" si="5"/>
        <v>1478</v>
      </c>
      <c r="AD19">
        <f t="shared" si="10"/>
        <v>2184484</v>
      </c>
      <c r="AE19">
        <f t="shared" si="6"/>
        <v>2</v>
      </c>
      <c r="AF19">
        <f t="shared" si="11"/>
        <v>233081289</v>
      </c>
      <c r="AG19">
        <f t="shared" si="12"/>
        <v>4771970346256</v>
      </c>
      <c r="AH19">
        <f t="shared" si="13"/>
        <v>4</v>
      </c>
      <c r="AI19">
        <f t="shared" si="14"/>
        <v>22564626</v>
      </c>
      <c r="AJ19">
        <f t="shared" si="15"/>
        <v>33350517228</v>
      </c>
      <c r="AK19">
        <f t="shared" si="16"/>
        <v>30534</v>
      </c>
      <c r="AL19">
        <f t="shared" si="17"/>
        <v>3228667352</v>
      </c>
      <c r="AM19">
        <f t="shared" si="18"/>
        <v>2956</v>
      </c>
      <c r="AN19">
        <f t="shared" si="19"/>
        <v>4368968</v>
      </c>
      <c r="AO19">
        <f t="shared" si="7"/>
        <v>7.673280556077143E+18</v>
      </c>
      <c r="AP19">
        <f t="shared" si="20"/>
        <v>6.7560981989008189E+18</v>
      </c>
      <c r="AQ19">
        <f t="shared" si="21"/>
        <v>-9.171823571763241E+17</v>
      </c>
    </row>
    <row r="20" spans="2:58">
      <c r="B20">
        <v>316000</v>
      </c>
      <c r="C20">
        <v>1</v>
      </c>
      <c r="D20">
        <v>5539</v>
      </c>
      <c r="E20">
        <v>2343</v>
      </c>
      <c r="F20">
        <f t="shared" si="8"/>
        <v>5489649</v>
      </c>
      <c r="G20">
        <v>4</v>
      </c>
      <c r="H20">
        <f t="shared" si="1"/>
        <v>16048139.391347032</v>
      </c>
      <c r="I20">
        <f t="shared" si="9"/>
        <v>504180585.04661554</v>
      </c>
      <c r="L20" s="42">
        <v>95993604</v>
      </c>
      <c r="Z20">
        <f t="shared" si="2"/>
        <v>16048139.391347032</v>
      </c>
      <c r="AA20">
        <f t="shared" si="3"/>
        <v>1</v>
      </c>
      <c r="AB20">
        <f t="shared" si="4"/>
        <v>5539</v>
      </c>
      <c r="AC20">
        <f t="shared" si="5"/>
        <v>2343</v>
      </c>
      <c r="AD20">
        <f t="shared" si="10"/>
        <v>5489649</v>
      </c>
      <c r="AE20">
        <f t="shared" si="6"/>
        <v>4</v>
      </c>
      <c r="AF20">
        <f t="shared" si="11"/>
        <v>30680521</v>
      </c>
      <c r="AG20">
        <f t="shared" si="12"/>
        <v>30136246143201</v>
      </c>
      <c r="AH20">
        <f t="shared" si="13"/>
        <v>16</v>
      </c>
      <c r="AI20">
        <f t="shared" si="14"/>
        <v>12977877</v>
      </c>
      <c r="AJ20">
        <f t="shared" si="15"/>
        <v>30407165811</v>
      </c>
      <c r="AK20">
        <f t="shared" si="16"/>
        <v>22156</v>
      </c>
      <c r="AL20">
        <f t="shared" si="17"/>
        <v>12862247607</v>
      </c>
      <c r="AM20">
        <f t="shared" si="18"/>
        <v>9372</v>
      </c>
      <c r="AN20">
        <f t="shared" si="19"/>
        <v>21958596</v>
      </c>
      <c r="AO20">
        <f t="shared" si="7"/>
        <v>3.8278267215680072E+16</v>
      </c>
      <c r="AP20">
        <f t="shared" si="20"/>
        <v>1.0597614558543684E+19</v>
      </c>
      <c r="AQ20">
        <f t="shared" si="21"/>
        <v>1.0559336291328004E+19</v>
      </c>
    </row>
    <row r="21" spans="2:58">
      <c r="B21">
        <v>225000</v>
      </c>
      <c r="C21">
        <v>1</v>
      </c>
      <c r="D21">
        <v>7566</v>
      </c>
      <c r="E21">
        <v>1567</v>
      </c>
      <c r="F21">
        <f t="shared" si="8"/>
        <v>2455489</v>
      </c>
      <c r="G21">
        <v>3</v>
      </c>
      <c r="H21">
        <f t="shared" si="1"/>
        <v>82926931.655705795</v>
      </c>
      <c r="I21">
        <f t="shared" si="9"/>
        <v>4698558789.5920753</v>
      </c>
      <c r="N21" s="38" t="s">
        <v>154</v>
      </c>
      <c r="O21">
        <f>AVERAGE(B4:B91)</f>
        <v>293546.03409090912</v>
      </c>
      <c r="Z21">
        <f t="shared" si="2"/>
        <v>82926931.655705795</v>
      </c>
      <c r="AA21">
        <f t="shared" si="3"/>
        <v>1</v>
      </c>
      <c r="AB21">
        <f t="shared" si="4"/>
        <v>7566</v>
      </c>
      <c r="AC21">
        <f t="shared" si="5"/>
        <v>1567</v>
      </c>
      <c r="AD21">
        <f t="shared" si="10"/>
        <v>2455489</v>
      </c>
      <c r="AE21">
        <f t="shared" si="6"/>
        <v>3</v>
      </c>
      <c r="AF21">
        <f t="shared" si="11"/>
        <v>57244356</v>
      </c>
      <c r="AG21">
        <f t="shared" si="12"/>
        <v>6029426229121</v>
      </c>
      <c r="AH21">
        <f t="shared" si="13"/>
        <v>9</v>
      </c>
      <c r="AI21">
        <f t="shared" si="14"/>
        <v>11855922</v>
      </c>
      <c r="AJ21">
        <f t="shared" si="15"/>
        <v>18578229774</v>
      </c>
      <c r="AK21">
        <f t="shared" si="16"/>
        <v>22698</v>
      </c>
      <c r="AL21">
        <f t="shared" si="17"/>
        <v>3847751263</v>
      </c>
      <c r="AM21">
        <f t="shared" si="18"/>
        <v>4701</v>
      </c>
      <c r="AN21">
        <f t="shared" si="19"/>
        <v>7366467</v>
      </c>
      <c r="AO21">
        <f t="shared" si="7"/>
        <v>1.120605710595702E+19</v>
      </c>
      <c r="AP21">
        <f t="shared" si="20"/>
        <v>1.0166653190695406E+19</v>
      </c>
      <c r="AQ21">
        <f t="shared" si="21"/>
        <v>-1.0394039152616141E+18</v>
      </c>
      <c r="AS21" s="40">
        <f t="array" ref="AS21:BF34">MINVERSE(AS5:BF18)</f>
        <v>257.12850883006439</v>
      </c>
      <c r="AT21" s="50">
        <v>-1.2843903934336182E-3</v>
      </c>
      <c r="AU21" s="50">
        <v>-0.42880125071428077</v>
      </c>
      <c r="AV21" s="50">
        <v>2.7582026789038026E-4</v>
      </c>
      <c r="AW21" s="50">
        <v>-14.070462628642344</v>
      </c>
      <c r="AX21">
        <v>1.6335057248955746E-9</v>
      </c>
      <c r="AY21">
        <v>8.0003024050703715E-12</v>
      </c>
      <c r="AZ21">
        <v>0.78673050105483966</v>
      </c>
      <c r="BA21">
        <v>7.2630654124030097E-7</v>
      </c>
      <c r="BB21">
        <v>-1.1678390358279607E-10</v>
      </c>
      <c r="BC21">
        <v>6.0910806952278366E-5</v>
      </c>
      <c r="BD21">
        <v>-7.7442505791403044E-8</v>
      </c>
      <c r="BE21">
        <v>7.5353238581465157E-3</v>
      </c>
      <c r="BF21" s="41">
        <v>-1.7003255148957056E-6</v>
      </c>
    </row>
    <row r="22" spans="2:58">
      <c r="B22">
        <v>325000</v>
      </c>
      <c r="C22">
        <v>1</v>
      </c>
      <c r="D22">
        <v>10859</v>
      </c>
      <c r="E22">
        <v>2709</v>
      </c>
      <c r="F22">
        <f t="shared" si="8"/>
        <v>7338681</v>
      </c>
      <c r="G22">
        <v>4</v>
      </c>
      <c r="H22">
        <f t="shared" si="1"/>
        <v>2797243322.3740158</v>
      </c>
      <c r="I22">
        <f t="shared" si="9"/>
        <v>989351971.41025138</v>
      </c>
      <c r="L22" s="42">
        <f t="array" ref="L22:L26">MMULT(L10:P14,L16:L20)</f>
        <v>125559.21711787488</v>
      </c>
      <c r="M22" s="50"/>
      <c r="N22" s="61" t="s">
        <v>114</v>
      </c>
      <c r="O22" s="50">
        <f>(H92/(COUNT(C4:C91)-5))^0.5</f>
        <v>58894.150395088895</v>
      </c>
      <c r="Z22">
        <f t="shared" si="2"/>
        <v>2797243322.3740158</v>
      </c>
      <c r="AA22">
        <f t="shared" si="3"/>
        <v>1</v>
      </c>
      <c r="AB22">
        <f t="shared" si="4"/>
        <v>10859</v>
      </c>
      <c r="AC22">
        <f t="shared" si="5"/>
        <v>2709</v>
      </c>
      <c r="AD22">
        <f t="shared" si="10"/>
        <v>7338681</v>
      </c>
      <c r="AE22">
        <f t="shared" si="6"/>
        <v>4</v>
      </c>
      <c r="AF22">
        <f t="shared" si="11"/>
        <v>117917881</v>
      </c>
      <c r="AG22">
        <f t="shared" si="12"/>
        <v>53856238819761</v>
      </c>
      <c r="AH22">
        <f t="shared" si="13"/>
        <v>16</v>
      </c>
      <c r="AI22">
        <f t="shared" si="14"/>
        <v>29417031</v>
      </c>
      <c r="AJ22">
        <f t="shared" si="15"/>
        <v>79690736979</v>
      </c>
      <c r="AK22">
        <f t="shared" si="16"/>
        <v>43436</v>
      </c>
      <c r="AL22">
        <f t="shared" si="17"/>
        <v>19880486829</v>
      </c>
      <c r="AM22">
        <f t="shared" si="18"/>
        <v>10836</v>
      </c>
      <c r="AN22">
        <f t="shared" si="19"/>
        <v>29354724</v>
      </c>
      <c r="AO22">
        <f t="shared" si="7"/>
        <v>8.2490279460899052E+18</v>
      </c>
      <c r="AP22">
        <f t="shared" si="20"/>
        <v>2.2486808153431354E+17</v>
      </c>
      <c r="AQ22">
        <f t="shared" si="21"/>
        <v>-8.0241598645555917E+18</v>
      </c>
      <c r="AS22" s="40">
        <v>-1.2843903934731486E-3</v>
      </c>
      <c r="AT22" s="50">
        <v>1.1055900621552465E-7</v>
      </c>
      <c r="AU22" s="50">
        <v>1.4966236388675337E-6</v>
      </c>
      <c r="AV22" s="50">
        <v>-8.745206285579929E-10</v>
      </c>
      <c r="AW22" s="50">
        <v>8.5412528773413877E-5</v>
      </c>
      <c r="AX22">
        <v>2.1637478035353104E-14</v>
      </c>
      <c r="AY22">
        <v>-3.1809570274433206E-17</v>
      </c>
      <c r="AZ22">
        <v>-6.4675742067486267E-6</v>
      </c>
      <c r="BA22">
        <v>-8.0993945505929039E-11</v>
      </c>
      <c r="BB22">
        <v>1.6253138648339168E-14</v>
      </c>
      <c r="BC22">
        <v>-5.5550326247702473E-9</v>
      </c>
      <c r="BD22">
        <v>2.5999757746408372E-13</v>
      </c>
      <c r="BE22">
        <v>2.1637647627211518E-9</v>
      </c>
      <c r="BF22" s="41">
        <v>1.8709259079728131E-12</v>
      </c>
    </row>
    <row r="23" spans="2:58" ht="17.25">
      <c r="B23">
        <v>215000</v>
      </c>
      <c r="C23">
        <v>1</v>
      </c>
      <c r="D23">
        <v>11554</v>
      </c>
      <c r="E23">
        <v>1694</v>
      </c>
      <c r="F23">
        <f t="shared" si="8"/>
        <v>2869636</v>
      </c>
      <c r="G23">
        <v>3</v>
      </c>
      <c r="H23">
        <f t="shared" si="1"/>
        <v>1377853499.0998125</v>
      </c>
      <c r="I23">
        <f t="shared" si="9"/>
        <v>6169479471.4102573</v>
      </c>
      <c r="L23" s="42">
        <v>1.94412328237288</v>
      </c>
      <c r="M23" s="50"/>
      <c r="N23" s="38" t="s">
        <v>156</v>
      </c>
      <c r="O23" s="50">
        <f>1-H92/I92</f>
        <v>0.68634763318140979</v>
      </c>
      <c r="Z23">
        <f t="shared" si="2"/>
        <v>1377853499.0998125</v>
      </c>
      <c r="AA23">
        <f t="shared" si="3"/>
        <v>1</v>
      </c>
      <c r="AB23">
        <f t="shared" si="4"/>
        <v>11554</v>
      </c>
      <c r="AC23">
        <f t="shared" si="5"/>
        <v>1694</v>
      </c>
      <c r="AD23">
        <f t="shared" si="10"/>
        <v>2869636</v>
      </c>
      <c r="AE23">
        <f t="shared" si="6"/>
        <v>3</v>
      </c>
      <c r="AF23">
        <f t="shared" si="11"/>
        <v>133494916</v>
      </c>
      <c r="AG23">
        <f t="shared" si="12"/>
        <v>8234810772496</v>
      </c>
      <c r="AH23">
        <f t="shared" si="13"/>
        <v>9</v>
      </c>
      <c r="AI23">
        <f t="shared" si="14"/>
        <v>19572476</v>
      </c>
      <c r="AJ23">
        <f t="shared" si="15"/>
        <v>33155774344</v>
      </c>
      <c r="AK23">
        <f t="shared" si="16"/>
        <v>34662</v>
      </c>
      <c r="AL23">
        <f t="shared" si="17"/>
        <v>4861163384</v>
      </c>
      <c r="AM23">
        <f t="shared" si="18"/>
        <v>5082</v>
      </c>
      <c r="AN23">
        <f t="shared" si="19"/>
        <v>8608908</v>
      </c>
      <c r="AO23">
        <f t="shared" si="7"/>
        <v>1.5450986712641372E+18</v>
      </c>
      <c r="AP23">
        <f t="shared" si="20"/>
        <v>3.5856921683966679E+18</v>
      </c>
      <c r="AQ23">
        <f t="shared" si="21"/>
        <v>2.0405934971325307E+18</v>
      </c>
      <c r="AS23" s="40">
        <v>-0.42880125072172864</v>
      </c>
      <c r="AT23" s="50">
        <v>1.4966236388281576E-6</v>
      </c>
      <c r="AU23" s="50">
        <v>7.6770783154099477E-4</v>
      </c>
      <c r="AV23" s="50">
        <v>-5.0662052413753662E-7</v>
      </c>
      <c r="AW23" s="50">
        <v>5.8255541128531809E-3</v>
      </c>
      <c r="AX23">
        <v>-2.5101151453206331E-12</v>
      </c>
      <c r="AY23">
        <v>-1.4539584955890129E-14</v>
      </c>
      <c r="AZ23">
        <v>-5.8846317800416296E-4</v>
      </c>
      <c r="BA23">
        <v>-9.019464504561784E-10</v>
      </c>
      <c r="BB23">
        <v>1.3630556009145702E-13</v>
      </c>
      <c r="BC23">
        <v>-3.4215828350163213E-8</v>
      </c>
      <c r="BD23">
        <v>1.4290425413241092E-10</v>
      </c>
      <c r="BE23">
        <v>-1.6809915716897676E-6</v>
      </c>
      <c r="BF23" s="41">
        <v>4.7681343300494596E-10</v>
      </c>
    </row>
    <row r="24" spans="2:58">
      <c r="B24">
        <v>725000</v>
      </c>
      <c r="C24">
        <v>1</v>
      </c>
      <c r="D24">
        <v>31000</v>
      </c>
      <c r="E24">
        <v>3662</v>
      </c>
      <c r="F24">
        <f t="shared" si="8"/>
        <v>13410244</v>
      </c>
      <c r="G24">
        <v>5</v>
      </c>
      <c r="H24">
        <f t="shared" si="1"/>
        <v>18594563882.585388</v>
      </c>
      <c r="I24">
        <f t="shared" si="9"/>
        <v>186152524698.68295</v>
      </c>
      <c r="K24" s="39" t="s">
        <v>96</v>
      </c>
      <c r="L24" s="42">
        <v>-8.6226101166291755</v>
      </c>
      <c r="M24" s="50"/>
      <c r="N24" s="50"/>
      <c r="O24" s="50"/>
      <c r="Z24">
        <f t="shared" si="2"/>
        <v>18594563882.585388</v>
      </c>
      <c r="AA24">
        <f t="shared" si="3"/>
        <v>1</v>
      </c>
      <c r="AB24">
        <f t="shared" si="4"/>
        <v>31000</v>
      </c>
      <c r="AC24">
        <f t="shared" si="5"/>
        <v>3662</v>
      </c>
      <c r="AD24">
        <f t="shared" si="10"/>
        <v>13410244</v>
      </c>
      <c r="AE24">
        <f t="shared" si="6"/>
        <v>5</v>
      </c>
      <c r="AF24">
        <f t="shared" si="11"/>
        <v>961000000</v>
      </c>
      <c r="AG24">
        <f t="shared" si="12"/>
        <v>179834644139536</v>
      </c>
      <c r="AH24">
        <f t="shared" si="13"/>
        <v>25</v>
      </c>
      <c r="AI24">
        <f t="shared" si="14"/>
        <v>113522000</v>
      </c>
      <c r="AJ24">
        <f t="shared" si="15"/>
        <v>415717564000</v>
      </c>
      <c r="AK24">
        <f t="shared" si="16"/>
        <v>155000</v>
      </c>
      <c r="AL24">
        <f t="shared" si="17"/>
        <v>49108313528</v>
      </c>
      <c r="AM24">
        <f t="shared" si="18"/>
        <v>18310</v>
      </c>
      <c r="AN24">
        <f t="shared" si="19"/>
        <v>67051220</v>
      </c>
      <c r="AO24">
        <f t="shared" si="7"/>
        <v>7.1323667818875279E+18</v>
      </c>
      <c r="AP24">
        <f t="shared" si="20"/>
        <v>2.3479794480817118E+20</v>
      </c>
      <c r="AQ24">
        <f t="shared" si="21"/>
        <v>2.2766557802628366E+20</v>
      </c>
      <c r="AS24" s="40">
        <v>2.758202678981065E-4</v>
      </c>
      <c r="AT24" s="50">
        <v>-8.7452062854285002E-10</v>
      </c>
      <c r="AU24" s="50">
        <v>-5.0662052414248964E-7</v>
      </c>
      <c r="AV24" s="50">
        <v>3.4054610168160724E-10</v>
      </c>
      <c r="AW24" s="50">
        <v>-5.6144177296254426E-7</v>
      </c>
      <c r="AX24">
        <v>9.8024707792080349E-16</v>
      </c>
      <c r="AY24">
        <v>9.8489587996062056E-18</v>
      </c>
      <c r="AZ24">
        <v>3.8745715275653245E-7</v>
      </c>
      <c r="BA24">
        <v>4.5823955133190732E-13</v>
      </c>
      <c r="BB24">
        <v>-7.0538466247979309E-17</v>
      </c>
      <c r="BC24">
        <v>5.51502732594977E-11</v>
      </c>
      <c r="BD24">
        <v>-9.6805975814390166E-14</v>
      </c>
      <c r="BE24">
        <v>-2.0342996044939583E-9</v>
      </c>
      <c r="BF24" s="41">
        <v>3.0837847743094319E-13</v>
      </c>
    </row>
    <row r="25" spans="2:58">
      <c r="B25">
        <v>306000</v>
      </c>
      <c r="C25">
        <v>1</v>
      </c>
      <c r="D25">
        <v>20700</v>
      </c>
      <c r="E25">
        <v>2205</v>
      </c>
      <c r="F25">
        <f t="shared" si="8"/>
        <v>4862025</v>
      </c>
      <c r="G25">
        <v>2</v>
      </c>
      <c r="H25">
        <f t="shared" si="1"/>
        <v>606679.28650271602</v>
      </c>
      <c r="I25">
        <f t="shared" si="9"/>
        <v>155101266.86479789</v>
      </c>
      <c r="L25" s="42">
        <v>2.7417642413770496E-2</v>
      </c>
      <c r="M25" s="50"/>
      <c r="Z25">
        <f t="shared" si="2"/>
        <v>606679.28650271602</v>
      </c>
      <c r="AA25">
        <f t="shared" si="3"/>
        <v>1</v>
      </c>
      <c r="AB25">
        <f t="shared" si="4"/>
        <v>20700</v>
      </c>
      <c r="AC25">
        <f t="shared" si="5"/>
        <v>2205</v>
      </c>
      <c r="AD25">
        <f t="shared" si="10"/>
        <v>4862025</v>
      </c>
      <c r="AE25">
        <f t="shared" si="6"/>
        <v>2</v>
      </c>
      <c r="AF25">
        <f t="shared" si="11"/>
        <v>428490000</v>
      </c>
      <c r="AG25">
        <f t="shared" si="12"/>
        <v>23639287100625</v>
      </c>
      <c r="AH25">
        <f t="shared" si="13"/>
        <v>4</v>
      </c>
      <c r="AI25">
        <f t="shared" si="14"/>
        <v>45643500</v>
      </c>
      <c r="AJ25">
        <f t="shared" si="15"/>
        <v>100643917500</v>
      </c>
      <c r="AK25">
        <f t="shared" si="16"/>
        <v>41400</v>
      </c>
      <c r="AL25">
        <f t="shared" si="17"/>
        <v>10720765125</v>
      </c>
      <c r="AM25">
        <f t="shared" si="18"/>
        <v>4410</v>
      </c>
      <c r="AN25">
        <f t="shared" si="19"/>
        <v>9724050</v>
      </c>
      <c r="AO25">
        <f t="shared" si="7"/>
        <v>2.6672275741489679E+18</v>
      </c>
      <c r="AP25">
        <f t="shared" si="20"/>
        <v>1.0698389186424818E+19</v>
      </c>
      <c r="AQ25">
        <f t="shared" si="21"/>
        <v>8.0311616122758492E+18</v>
      </c>
      <c r="AS25" s="40">
        <v>-14.070462626141879</v>
      </c>
      <c r="AT25" s="50">
        <v>8.541252876181782E-5</v>
      </c>
      <c r="AU25" s="50">
        <v>5.8255541082495926E-3</v>
      </c>
      <c r="AV25" s="50">
        <v>-5.6144176984650444E-7</v>
      </c>
      <c r="AW25" s="50">
        <v>8.2508191025620921</v>
      </c>
      <c r="AX25">
        <v>5.329764079410283E-11</v>
      </c>
      <c r="AY25">
        <v>-1.4537999934427701E-13</v>
      </c>
      <c r="AZ25">
        <v>-0.37372984751285271</v>
      </c>
      <c r="BA25">
        <v>2.4816812068458225E-8</v>
      </c>
      <c r="BB25">
        <v>-6.188608086442149E-12</v>
      </c>
      <c r="BC25">
        <v>-2.9081265055089085E-5</v>
      </c>
      <c r="BD25">
        <v>2.7640975202277992E-10</v>
      </c>
      <c r="BE25">
        <v>-4.9962735725306365E-3</v>
      </c>
      <c r="BF25" s="41">
        <v>1.1017463881290075E-6</v>
      </c>
    </row>
    <row r="26" spans="2:58">
      <c r="B26">
        <v>425000</v>
      </c>
      <c r="C26">
        <v>1</v>
      </c>
      <c r="D26">
        <v>5525</v>
      </c>
      <c r="E26">
        <v>1502</v>
      </c>
      <c r="F26">
        <f t="shared" si="8"/>
        <v>2256004</v>
      </c>
      <c r="G26">
        <v>3</v>
      </c>
      <c r="H26">
        <f t="shared" si="1"/>
        <v>39908241406.727409</v>
      </c>
      <c r="I26">
        <f t="shared" si="9"/>
        <v>17280145153.228428</v>
      </c>
      <c r="L26" s="42">
        <v>13341.959792437963</v>
      </c>
      <c r="M26" s="50"/>
      <c r="N26" s="50"/>
      <c r="O26" s="50"/>
      <c r="Z26">
        <f t="shared" si="2"/>
        <v>39908241406.727409</v>
      </c>
      <c r="AA26">
        <f t="shared" si="3"/>
        <v>1</v>
      </c>
      <c r="AB26">
        <f t="shared" si="4"/>
        <v>5525</v>
      </c>
      <c r="AC26">
        <f t="shared" si="5"/>
        <v>1502</v>
      </c>
      <c r="AD26">
        <f t="shared" si="10"/>
        <v>2256004</v>
      </c>
      <c r="AE26">
        <f t="shared" si="6"/>
        <v>3</v>
      </c>
      <c r="AF26">
        <f t="shared" si="11"/>
        <v>30525625</v>
      </c>
      <c r="AG26">
        <f t="shared" si="12"/>
        <v>5089554048016</v>
      </c>
      <c r="AH26">
        <f t="shared" si="13"/>
        <v>9</v>
      </c>
      <c r="AI26">
        <f t="shared" si="14"/>
        <v>8298550</v>
      </c>
      <c r="AJ26">
        <f t="shared" si="15"/>
        <v>12464422100</v>
      </c>
      <c r="AK26">
        <f t="shared" si="16"/>
        <v>16575</v>
      </c>
      <c r="AL26">
        <f t="shared" si="17"/>
        <v>3388518008</v>
      </c>
      <c r="AM26">
        <f t="shared" si="18"/>
        <v>4506</v>
      </c>
      <c r="AN26">
        <f t="shared" si="19"/>
        <v>6768012</v>
      </c>
      <c r="AO26">
        <f t="shared" si="7"/>
        <v>1.2867230352892489E+21</v>
      </c>
      <c r="AP26">
        <f t="shared" si="20"/>
        <v>1.3422547852407121E+21</v>
      </c>
      <c r="AQ26">
        <f t="shared" si="21"/>
        <v>5.5531749951463227E+19</v>
      </c>
      <c r="AS26" s="40">
        <v>1.6335057246652834E-9</v>
      </c>
      <c r="AT26">
        <v>2.1637478036365862E-14</v>
      </c>
      <c r="AU26">
        <v>-2.5101151448827375E-12</v>
      </c>
      <c r="AV26">
        <v>9.8024707761918272E-16</v>
      </c>
      <c r="AW26">
        <v>5.3297640790088109E-11</v>
      </c>
      <c r="AX26">
        <v>7.1154154135640003E-19</v>
      </c>
      <c r="AY26">
        <v>8.650569997974016E-24</v>
      </c>
      <c r="AZ26">
        <v>-2.3541018703668165E-11</v>
      </c>
      <c r="BA26">
        <v>2.0016256220187566E-18</v>
      </c>
      <c r="BB26">
        <v>6.660976037135761E-21</v>
      </c>
      <c r="BC26">
        <v>-2.8220690675082854E-14</v>
      </c>
      <c r="BD26">
        <v>-1.8223812376833287E-19</v>
      </c>
      <c r="BE26">
        <v>2.1613083917223301E-13</v>
      </c>
      <c r="BF26" s="41">
        <v>-2.4804696180873437E-17</v>
      </c>
    </row>
    <row r="27" spans="2:58" ht="17.25">
      <c r="B27">
        <v>225000</v>
      </c>
      <c r="C27">
        <v>1</v>
      </c>
      <c r="D27">
        <v>18838</v>
      </c>
      <c r="E27">
        <v>1294</v>
      </c>
      <c r="F27">
        <f t="shared" si="8"/>
        <v>1674436</v>
      </c>
      <c r="G27">
        <v>3</v>
      </c>
      <c r="H27">
        <f t="shared" si="1"/>
        <v>143039707.70355329</v>
      </c>
      <c r="I27">
        <f t="shared" si="9"/>
        <v>4698558789.5920753</v>
      </c>
      <c r="L27" s="50"/>
      <c r="M27" s="50"/>
      <c r="N27" s="50"/>
      <c r="O27" s="50"/>
      <c r="Z27">
        <f t="shared" si="2"/>
        <v>143039707.70355329</v>
      </c>
      <c r="AA27">
        <f t="shared" si="3"/>
        <v>1</v>
      </c>
      <c r="AB27">
        <f t="shared" si="4"/>
        <v>18838</v>
      </c>
      <c r="AC27">
        <f t="shared" si="5"/>
        <v>1294</v>
      </c>
      <c r="AD27">
        <f t="shared" si="10"/>
        <v>1674436</v>
      </c>
      <c r="AE27">
        <f t="shared" si="6"/>
        <v>3</v>
      </c>
      <c r="AF27">
        <f t="shared" si="11"/>
        <v>354870244</v>
      </c>
      <c r="AG27">
        <f t="shared" si="12"/>
        <v>2803735918096</v>
      </c>
      <c r="AH27">
        <f t="shared" si="13"/>
        <v>9</v>
      </c>
      <c r="AI27">
        <f t="shared" si="14"/>
        <v>24376372</v>
      </c>
      <c r="AJ27">
        <f t="shared" si="15"/>
        <v>31543025368</v>
      </c>
      <c r="AK27">
        <f t="shared" si="16"/>
        <v>56514</v>
      </c>
      <c r="AL27">
        <f t="shared" si="17"/>
        <v>2166720184</v>
      </c>
      <c r="AM27">
        <f t="shared" si="18"/>
        <v>3882</v>
      </c>
      <c r="AN27">
        <f t="shared" si="19"/>
        <v>5023308</v>
      </c>
      <c r="AO27">
        <f t="shared" si="7"/>
        <v>7.9456603510483825E+18</v>
      </c>
      <c r="AP27">
        <f t="shared" si="20"/>
        <v>9.7869252835948605E+18</v>
      </c>
      <c r="AQ27">
        <f t="shared" si="21"/>
        <v>1.8412649325464781E+18</v>
      </c>
      <c r="AR27" s="38" t="s">
        <v>94</v>
      </c>
      <c r="AS27" s="40">
        <v>8.0003024053061664E-12</v>
      </c>
      <c r="AT27">
        <v>-3.1809570274002062E-17</v>
      </c>
      <c r="AU27">
        <v>-1.4539584956054048E-14</v>
      </c>
      <c r="AV27">
        <v>9.8489587996193805E-18</v>
      </c>
      <c r="AW27">
        <v>-1.4537999943516565E-13</v>
      </c>
      <c r="AX27">
        <v>8.6505700068210671E-24</v>
      </c>
      <c r="AY27">
        <v>2.9351823487163283E-25</v>
      </c>
      <c r="AZ27">
        <v>1.8077864789889255E-14</v>
      </c>
      <c r="BA27">
        <v>1.6983243525967777E-20</v>
      </c>
      <c r="BB27">
        <v>-2.9060924086946941E-24</v>
      </c>
      <c r="BC27">
        <v>2.7487113447887065E-18</v>
      </c>
      <c r="BD27">
        <v>-2.8353489780637261E-21</v>
      </c>
      <c r="BE27">
        <v>9.9579281690211344E-18</v>
      </c>
      <c r="BF27" s="41">
        <v>-6.8116825488816915E-21</v>
      </c>
    </row>
    <row r="28" spans="2:58">
      <c r="B28">
        <v>236000</v>
      </c>
      <c r="C28">
        <v>1</v>
      </c>
      <c r="D28">
        <v>5828</v>
      </c>
      <c r="E28">
        <v>1715</v>
      </c>
      <c r="F28">
        <f t="shared" si="8"/>
        <v>2941225</v>
      </c>
      <c r="G28">
        <v>3</v>
      </c>
      <c r="H28">
        <f t="shared" si="1"/>
        <v>45821066.035999939</v>
      </c>
      <c r="I28">
        <f t="shared" si="9"/>
        <v>3311546039.5920744</v>
      </c>
      <c r="L28" s="40">
        <f t="array" ref="L28:P32">O22^2*(L10:P14)</f>
        <v>6706808438.3799257</v>
      </c>
      <c r="M28" s="50">
        <v>-5394.1393209209173</v>
      </c>
      <c r="N28" s="50">
        <v>-5348559.5373014119</v>
      </c>
      <c r="O28" s="50">
        <v>1091.4788146751384</v>
      </c>
      <c r="P28" s="41">
        <v>-177619458.9778738</v>
      </c>
      <c r="Z28">
        <f t="shared" si="2"/>
        <v>45821066.035999939</v>
      </c>
      <c r="AA28">
        <f t="shared" si="3"/>
        <v>1</v>
      </c>
      <c r="AB28">
        <f t="shared" si="4"/>
        <v>5828</v>
      </c>
      <c r="AC28">
        <f t="shared" si="5"/>
        <v>1715</v>
      </c>
      <c r="AD28">
        <f t="shared" si="10"/>
        <v>2941225</v>
      </c>
      <c r="AE28">
        <f t="shared" si="6"/>
        <v>3</v>
      </c>
      <c r="AF28">
        <f t="shared" si="11"/>
        <v>33965584</v>
      </c>
      <c r="AG28">
        <f t="shared" si="12"/>
        <v>8650804500625</v>
      </c>
      <c r="AH28">
        <f t="shared" si="13"/>
        <v>9</v>
      </c>
      <c r="AI28">
        <f t="shared" si="14"/>
        <v>9995020</v>
      </c>
      <c r="AJ28">
        <f t="shared" si="15"/>
        <v>17141459300</v>
      </c>
      <c r="AK28">
        <f t="shared" si="16"/>
        <v>17484</v>
      </c>
      <c r="AL28">
        <f t="shared" si="17"/>
        <v>5044200875</v>
      </c>
      <c r="AM28">
        <f t="shared" si="18"/>
        <v>5145</v>
      </c>
      <c r="AN28">
        <f t="shared" si="19"/>
        <v>8823675</v>
      </c>
      <c r="AO28">
        <f t="shared" si="7"/>
        <v>7.1007422828570081E+18</v>
      </c>
      <c r="AP28">
        <f t="shared" si="20"/>
        <v>1.0404655548447318E+19</v>
      </c>
      <c r="AQ28">
        <f t="shared" si="21"/>
        <v>3.3039132655903099E+18</v>
      </c>
      <c r="AS28" s="40">
        <v>0.78673050100237296</v>
      </c>
      <c r="AT28">
        <v>-6.4675742064304583E-6</v>
      </c>
      <c r="AU28">
        <v>-5.8846317789575076E-4</v>
      </c>
      <c r="AV28">
        <v>3.8745715267891935E-7</v>
      </c>
      <c r="AW28">
        <v>-0.37372984751690336</v>
      </c>
      <c r="AX28">
        <v>-2.3541018703379153E-11</v>
      </c>
      <c r="AY28">
        <v>1.8077864787613864E-14</v>
      </c>
      <c r="AZ28">
        <v>2.7936844810170783E-2</v>
      </c>
      <c r="BA28">
        <v>-3.1469050455552975E-9</v>
      </c>
      <c r="BB28">
        <v>4.665461823713465E-13</v>
      </c>
      <c r="BC28">
        <v>3.2257723233366738E-6</v>
      </c>
      <c r="BD28">
        <v>-1.2615427951617988E-10</v>
      </c>
      <c r="BE28">
        <v>1.5256799565586639E-4</v>
      </c>
      <c r="BF28" s="41">
        <v>-3.8976908230090077E-8</v>
      </c>
    </row>
    <row r="29" spans="2:58">
      <c r="B29">
        <v>202500</v>
      </c>
      <c r="C29">
        <v>1</v>
      </c>
      <c r="D29">
        <v>6341</v>
      </c>
      <c r="E29">
        <v>1574</v>
      </c>
      <c r="F29">
        <f t="shared" si="8"/>
        <v>2477476</v>
      </c>
      <c r="G29">
        <v>3</v>
      </c>
      <c r="H29">
        <f t="shared" si="1"/>
        <v>886094826.07714343</v>
      </c>
      <c r="I29">
        <f t="shared" si="9"/>
        <v>8289380323.6829853</v>
      </c>
      <c r="L29" s="40">
        <v>-5394.1393209209436</v>
      </c>
      <c r="M29" s="50">
        <v>0.40360775714897412</v>
      </c>
      <c r="N29" s="50">
        <v>3.2947345144253863</v>
      </c>
      <c r="O29" s="50">
        <v>-9.1555697708033655E-4</v>
      </c>
      <c r="P29" s="41">
        <v>-242.93411746686212</v>
      </c>
      <c r="Z29">
        <f t="shared" si="2"/>
        <v>886094826.07714343</v>
      </c>
      <c r="AA29">
        <f t="shared" si="3"/>
        <v>1</v>
      </c>
      <c r="AB29">
        <f t="shared" si="4"/>
        <v>6341</v>
      </c>
      <c r="AC29">
        <f t="shared" si="5"/>
        <v>1574</v>
      </c>
      <c r="AD29">
        <f t="shared" si="10"/>
        <v>2477476</v>
      </c>
      <c r="AE29">
        <f t="shared" si="6"/>
        <v>3</v>
      </c>
      <c r="AF29">
        <f t="shared" si="11"/>
        <v>40208281</v>
      </c>
      <c r="AG29">
        <f t="shared" si="12"/>
        <v>6137887330576</v>
      </c>
      <c r="AH29">
        <f t="shared" si="13"/>
        <v>9</v>
      </c>
      <c r="AI29">
        <f t="shared" si="14"/>
        <v>9980734</v>
      </c>
      <c r="AJ29">
        <f t="shared" si="15"/>
        <v>15709675316</v>
      </c>
      <c r="AK29">
        <f t="shared" si="16"/>
        <v>19023</v>
      </c>
      <c r="AL29">
        <f t="shared" si="17"/>
        <v>3899547224</v>
      </c>
      <c r="AM29">
        <f t="shared" si="18"/>
        <v>4722</v>
      </c>
      <c r="AN29">
        <f t="shared" si="19"/>
        <v>7432428</v>
      </c>
      <c r="AO29">
        <f t="shared" si="7"/>
        <v>7.3178913118565222E+18</v>
      </c>
      <c r="AP29">
        <f t="shared" si="20"/>
        <v>5.6898997303073382E+18</v>
      </c>
      <c r="AQ29">
        <f t="shared" si="21"/>
        <v>-1.627991581549184E+18</v>
      </c>
      <c r="AS29" s="40">
        <v>7.2630654126701416E-7</v>
      </c>
      <c r="AT29">
        <v>-8.0993945505954643E-11</v>
      </c>
      <c r="AU29">
        <v>-9.01946450486176E-10</v>
      </c>
      <c r="AV29">
        <v>4.5823955134566142E-13</v>
      </c>
      <c r="AW29">
        <v>2.4816812061758058E-8</v>
      </c>
      <c r="AX29">
        <v>2.0016256225853051E-18</v>
      </c>
      <c r="AY29">
        <v>1.6983243526367504E-20</v>
      </c>
      <c r="AZ29">
        <v>-3.1469050453635752E-9</v>
      </c>
      <c r="BA29">
        <v>6.8179136459795629E-14</v>
      </c>
      <c r="BB29">
        <v>-1.3342605662645953E-17</v>
      </c>
      <c r="BC29">
        <v>8.9492102591404949E-13</v>
      </c>
      <c r="BD29">
        <v>-1.3434661438414982E-16</v>
      </c>
      <c r="BE29">
        <v>-1.3679040653973792E-11</v>
      </c>
      <c r="BF29" s="41">
        <v>4.0006248589996642E-15</v>
      </c>
    </row>
    <row r="30" spans="2:58">
      <c r="B30">
        <v>219000</v>
      </c>
      <c r="C30">
        <v>1</v>
      </c>
      <c r="D30">
        <v>6362</v>
      </c>
      <c r="E30">
        <v>1185</v>
      </c>
      <c r="F30">
        <f t="shared" si="8"/>
        <v>1404225</v>
      </c>
      <c r="G30">
        <v>2</v>
      </c>
      <c r="H30">
        <f t="shared" si="1"/>
        <v>681502614.74055362</v>
      </c>
      <c r="I30">
        <f t="shared" si="9"/>
        <v>5557111198.6829844</v>
      </c>
      <c r="K30" s="38" t="s">
        <v>128</v>
      </c>
      <c r="L30" s="40">
        <v>-5348559.5373014389</v>
      </c>
      <c r="M30" s="50">
        <v>3.2947345144253957</v>
      </c>
      <c r="N30" s="50">
        <v>4835.1972962811096</v>
      </c>
      <c r="O30" s="50">
        <v>-0.97347211049953231</v>
      </c>
      <c r="P30" s="41">
        <v>-41966.658425286223</v>
      </c>
      <c r="Z30">
        <f t="shared" si="2"/>
        <v>681502614.74055362</v>
      </c>
      <c r="AA30">
        <f t="shared" si="3"/>
        <v>1</v>
      </c>
      <c r="AB30">
        <f t="shared" si="4"/>
        <v>6362</v>
      </c>
      <c r="AC30">
        <f t="shared" si="5"/>
        <v>1185</v>
      </c>
      <c r="AD30">
        <f t="shared" si="10"/>
        <v>1404225</v>
      </c>
      <c r="AE30">
        <f t="shared" si="6"/>
        <v>2</v>
      </c>
      <c r="AF30">
        <f t="shared" si="11"/>
        <v>40475044</v>
      </c>
      <c r="AG30">
        <f t="shared" si="12"/>
        <v>1971847850625</v>
      </c>
      <c r="AH30">
        <f t="shared" si="13"/>
        <v>4</v>
      </c>
      <c r="AI30">
        <f t="shared" si="14"/>
        <v>7538970</v>
      </c>
      <c r="AJ30">
        <f t="shared" si="15"/>
        <v>8933679450</v>
      </c>
      <c r="AK30">
        <f t="shared" si="16"/>
        <v>12724</v>
      </c>
      <c r="AL30">
        <f t="shared" si="17"/>
        <v>1664006625</v>
      </c>
      <c r="AM30">
        <f t="shared" si="18"/>
        <v>2370</v>
      </c>
      <c r="AN30">
        <f t="shared" si="19"/>
        <v>2808450</v>
      </c>
      <c r="AO30">
        <f t="shared" si="7"/>
        <v>4.8987750755250752E+16</v>
      </c>
      <c r="AP30">
        <f t="shared" si="20"/>
        <v>6.7078062039685284E+18</v>
      </c>
      <c r="AQ30">
        <f t="shared" si="21"/>
        <v>6.6588184532132772E+18</v>
      </c>
      <c r="AS30" s="40">
        <v>-1.1678390359076926E-10</v>
      </c>
      <c r="AT30">
        <v>1.6253138648357751E-14</v>
      </c>
      <c r="AU30">
        <v>1.3630556010274783E-13</v>
      </c>
      <c r="AV30">
        <v>-7.0538466254476811E-17</v>
      </c>
      <c r="AW30">
        <v>-6.1886080852467737E-12</v>
      </c>
      <c r="AX30">
        <v>6.6609760370318218E-21</v>
      </c>
      <c r="AY30">
        <v>-2.906092408884856E-24</v>
      </c>
      <c r="AZ30">
        <v>4.6654618233169878E-13</v>
      </c>
      <c r="BA30">
        <v>-1.3342605662653688E-17</v>
      </c>
      <c r="BB30">
        <v>2.7084152928557917E-21</v>
      </c>
      <c r="BC30">
        <v>-5.2112528937928944E-16</v>
      </c>
      <c r="BD30">
        <v>2.1588059408092618E-20</v>
      </c>
      <c r="BE30">
        <v>6.5336845511346873E-15</v>
      </c>
      <c r="BF30" s="41">
        <v>-1.3950158312852743E-18</v>
      </c>
    </row>
    <row r="31" spans="2:58">
      <c r="B31">
        <v>300000</v>
      </c>
      <c r="C31">
        <v>1</v>
      </c>
      <c r="D31">
        <v>6126</v>
      </c>
      <c r="E31">
        <v>2438</v>
      </c>
      <c r="F31">
        <f t="shared" si="8"/>
        <v>5943844</v>
      </c>
      <c r="G31">
        <v>4</v>
      </c>
      <c r="H31">
        <f t="shared" si="1"/>
        <v>1074595364.4426813</v>
      </c>
      <c r="I31">
        <f t="shared" si="9"/>
        <v>41653675.955707304</v>
      </c>
      <c r="L31" s="40">
        <v>1091.4788146751432</v>
      </c>
      <c r="M31" s="50">
        <v>-9.1555697708033286E-4</v>
      </c>
      <c r="N31" s="50">
        <v>-0.97347211049953142</v>
      </c>
      <c r="O31" s="50">
        <v>2.0312137500210314E-4</v>
      </c>
      <c r="P31" s="41">
        <v>-3.7824575965044316</v>
      </c>
      <c r="Z31">
        <f t="shared" si="2"/>
        <v>1074595364.4426813</v>
      </c>
      <c r="AA31">
        <f t="shared" si="3"/>
        <v>1</v>
      </c>
      <c r="AB31">
        <f t="shared" si="4"/>
        <v>6126</v>
      </c>
      <c r="AC31">
        <f t="shared" si="5"/>
        <v>2438</v>
      </c>
      <c r="AD31">
        <f t="shared" si="10"/>
        <v>5943844</v>
      </c>
      <c r="AE31">
        <f t="shared" si="6"/>
        <v>4</v>
      </c>
      <c r="AF31">
        <f t="shared" si="11"/>
        <v>37527876</v>
      </c>
      <c r="AG31">
        <f t="shared" si="12"/>
        <v>35329281496336</v>
      </c>
      <c r="AH31">
        <f t="shared" si="13"/>
        <v>16</v>
      </c>
      <c r="AI31">
        <f t="shared" si="14"/>
        <v>14935188</v>
      </c>
      <c r="AJ31">
        <f t="shared" si="15"/>
        <v>36411988344</v>
      </c>
      <c r="AK31">
        <f t="shared" si="16"/>
        <v>24504</v>
      </c>
      <c r="AL31">
        <f t="shared" si="17"/>
        <v>14491091672</v>
      </c>
      <c r="AM31">
        <f t="shared" si="18"/>
        <v>9752</v>
      </c>
      <c r="AN31">
        <f t="shared" si="19"/>
        <v>23775376</v>
      </c>
      <c r="AO31">
        <f t="shared" si="7"/>
        <v>4.1727570121092557E+17</v>
      </c>
      <c r="AP31">
        <f t="shared" si="20"/>
        <v>4.8261522612503183E+18</v>
      </c>
      <c r="AQ31">
        <f t="shared" si="21"/>
        <v>4.4088765600393928E+18</v>
      </c>
      <c r="AS31" s="40">
        <v>6.0910806962284163E-5</v>
      </c>
      <c r="AT31">
        <v>-5.5550326247972853E-9</v>
      </c>
      <c r="AU31">
        <v>-3.4215828366171197E-8</v>
      </c>
      <c r="AV31">
        <v>5.5150273269490669E-11</v>
      </c>
      <c r="AW31">
        <v>-2.908126505594677E-5</v>
      </c>
      <c r="AX31">
        <v>-2.8220690674991586E-14</v>
      </c>
      <c r="AY31">
        <v>2.7487113450796066E-18</v>
      </c>
      <c r="AZ31">
        <v>3.2257723233714347E-6</v>
      </c>
      <c r="BA31">
        <v>8.949210259268718E-13</v>
      </c>
      <c r="BB31">
        <v>-5.2112528938038468E-16</v>
      </c>
      <c r="BC31">
        <v>2.0867478630030338E-9</v>
      </c>
      <c r="BD31">
        <v>-2.0259276733148672E-14</v>
      </c>
      <c r="BE31">
        <v>-4.74826715950363E-9</v>
      </c>
      <c r="BF31" s="41">
        <v>-5.5606770015502978E-13</v>
      </c>
    </row>
    <row r="32" spans="2:58">
      <c r="B32">
        <v>370000</v>
      </c>
      <c r="C32">
        <v>1</v>
      </c>
      <c r="D32">
        <v>9903</v>
      </c>
      <c r="E32">
        <v>2076</v>
      </c>
      <c r="F32">
        <f t="shared" si="8"/>
        <v>4309776</v>
      </c>
      <c r="G32">
        <v>3</v>
      </c>
      <c r="H32">
        <f t="shared" si="1"/>
        <v>7207821861.1542397</v>
      </c>
      <c r="I32">
        <f t="shared" si="9"/>
        <v>5845208903.2284307</v>
      </c>
      <c r="L32" s="40">
        <v>-177619458.97786355</v>
      </c>
      <c r="M32" s="50">
        <v>-242.93411746687048</v>
      </c>
      <c r="N32" s="50">
        <v>-41966.658425295202</v>
      </c>
      <c r="O32" s="50">
        <v>-3.7824575965026197</v>
      </c>
      <c r="P32" s="41">
        <v>78724179.866302133</v>
      </c>
      <c r="Z32">
        <f t="shared" si="2"/>
        <v>7207821861.1542397</v>
      </c>
      <c r="AA32">
        <f t="shared" si="3"/>
        <v>1</v>
      </c>
      <c r="AB32">
        <f t="shared" si="4"/>
        <v>9903</v>
      </c>
      <c r="AC32">
        <f t="shared" si="5"/>
        <v>2076</v>
      </c>
      <c r="AD32">
        <f t="shared" si="10"/>
        <v>4309776</v>
      </c>
      <c r="AE32">
        <f t="shared" si="6"/>
        <v>3</v>
      </c>
      <c r="AF32">
        <f t="shared" si="11"/>
        <v>98069409</v>
      </c>
      <c r="AG32">
        <f t="shared" si="12"/>
        <v>18574169170176</v>
      </c>
      <c r="AH32">
        <f t="shared" si="13"/>
        <v>9</v>
      </c>
      <c r="AI32">
        <f t="shared" si="14"/>
        <v>20558628</v>
      </c>
      <c r="AJ32">
        <f t="shared" si="15"/>
        <v>42679711728</v>
      </c>
      <c r="AK32">
        <f t="shared" si="16"/>
        <v>29709</v>
      </c>
      <c r="AL32">
        <f t="shared" si="17"/>
        <v>8947094976</v>
      </c>
      <c r="AM32">
        <f t="shared" si="18"/>
        <v>6228</v>
      </c>
      <c r="AN32">
        <f t="shared" si="19"/>
        <v>12929328</v>
      </c>
      <c r="AO32">
        <f t="shared" si="7"/>
        <v>3.8974274179435954E+19</v>
      </c>
      <c r="AP32">
        <f t="shared" si="20"/>
        <v>1.5495055733226545E+19</v>
      </c>
      <c r="AQ32">
        <f t="shared" si="21"/>
        <v>-2.3479218446209409E+19</v>
      </c>
      <c r="AS32" s="40">
        <v>-7.7442505793867526E-8</v>
      </c>
      <c r="AT32">
        <v>2.5999757746075056E-13</v>
      </c>
      <c r="AU32">
        <v>1.429042541343002E-10</v>
      </c>
      <c r="AV32">
        <v>-9.68059758147112E-14</v>
      </c>
      <c r="AW32">
        <v>2.7640975291289828E-10</v>
      </c>
      <c r="AX32">
        <v>-1.8223812385509585E-19</v>
      </c>
      <c r="AY32">
        <v>-2.8353489780693244E-21</v>
      </c>
      <c r="AZ32">
        <v>-1.2615427953873763E-10</v>
      </c>
      <c r="BA32">
        <v>-1.3434661438076314E-16</v>
      </c>
      <c r="BB32">
        <v>2.1588059406328201E-20</v>
      </c>
      <c r="BC32">
        <v>-2.0259276730365151E-14</v>
      </c>
      <c r="BD32">
        <v>2.7703783071540692E-17</v>
      </c>
      <c r="BE32">
        <v>6.0338936242469107E-13</v>
      </c>
      <c r="BF32" s="41">
        <v>-8.9846865012159298E-17</v>
      </c>
    </row>
    <row r="33" spans="2:58">
      <c r="B33">
        <v>195000</v>
      </c>
      <c r="C33">
        <v>1</v>
      </c>
      <c r="D33">
        <v>4600</v>
      </c>
      <c r="E33">
        <v>1448</v>
      </c>
      <c r="F33">
        <f t="shared" si="8"/>
        <v>2096704</v>
      </c>
      <c r="G33">
        <v>3</v>
      </c>
      <c r="H33">
        <f t="shared" si="1"/>
        <v>601681881.48505735</v>
      </c>
      <c r="I33">
        <f t="shared" si="9"/>
        <v>9711320835.0466213</v>
      </c>
      <c r="Z33">
        <f t="shared" si="2"/>
        <v>601681881.48505735</v>
      </c>
      <c r="AA33">
        <f t="shared" si="3"/>
        <v>1</v>
      </c>
      <c r="AB33">
        <f t="shared" si="4"/>
        <v>4600</v>
      </c>
      <c r="AC33">
        <f t="shared" si="5"/>
        <v>1448</v>
      </c>
      <c r="AD33">
        <f t="shared" si="10"/>
        <v>2096704</v>
      </c>
      <c r="AE33">
        <f t="shared" si="6"/>
        <v>3</v>
      </c>
      <c r="AF33">
        <f t="shared" si="11"/>
        <v>21160000</v>
      </c>
      <c r="AG33">
        <f t="shared" si="12"/>
        <v>4396167663616</v>
      </c>
      <c r="AH33">
        <f t="shared" si="13"/>
        <v>9</v>
      </c>
      <c r="AI33">
        <f t="shared" si="14"/>
        <v>6660800</v>
      </c>
      <c r="AJ33">
        <f t="shared" si="15"/>
        <v>9644838400</v>
      </c>
      <c r="AK33">
        <f t="shared" si="16"/>
        <v>13800</v>
      </c>
      <c r="AL33">
        <f t="shared" si="17"/>
        <v>3036027392</v>
      </c>
      <c r="AM33">
        <f t="shared" si="18"/>
        <v>4344</v>
      </c>
      <c r="AN33">
        <f t="shared" si="19"/>
        <v>6290112</v>
      </c>
      <c r="AO33">
        <f t="shared" si="7"/>
        <v>1.4536237747594002E+19</v>
      </c>
      <c r="AP33">
        <f t="shared" si="20"/>
        <v>7.127639897144489E+18</v>
      </c>
      <c r="AQ33">
        <f t="shared" si="21"/>
        <v>-7.4085978504495135E+18</v>
      </c>
      <c r="AS33" s="40">
        <v>7.5353238561359946E-3</v>
      </c>
      <c r="AT33">
        <v>2.1637647714727487E-9</v>
      </c>
      <c r="AU33">
        <v>-1.6809915680721032E-6</v>
      </c>
      <c r="AV33">
        <v>-2.0342996069127767E-9</v>
      </c>
      <c r="AW33">
        <v>-4.9962735725015738E-3</v>
      </c>
      <c r="AX33">
        <v>2.1613083916636419E-13</v>
      </c>
      <c r="AY33">
        <v>9.9579280985344419E-18</v>
      </c>
      <c r="AZ33">
        <v>1.5256799565199316E-4</v>
      </c>
      <c r="BA33">
        <v>-1.3679040658962177E-11</v>
      </c>
      <c r="BB33">
        <v>6.5336845519851709E-15</v>
      </c>
      <c r="BC33">
        <v>-4.7482671600740909E-9</v>
      </c>
      <c r="BD33">
        <v>6.033893631129628E-13</v>
      </c>
      <c r="BE33">
        <v>3.6323953432639739E-6</v>
      </c>
      <c r="BF33" s="41">
        <v>-7.6796089049711946E-10</v>
      </c>
    </row>
    <row r="34" spans="2:58">
      <c r="B34">
        <v>373000</v>
      </c>
      <c r="C34">
        <v>1</v>
      </c>
      <c r="D34">
        <v>6095</v>
      </c>
      <c r="E34">
        <v>2514</v>
      </c>
      <c r="F34">
        <f t="shared" si="8"/>
        <v>6320196</v>
      </c>
      <c r="G34">
        <v>4</v>
      </c>
      <c r="H34">
        <f t="shared" si="1"/>
        <v>937332122.04790485</v>
      </c>
      <c r="I34">
        <f t="shared" si="9"/>
        <v>6312932698.6829758</v>
      </c>
      <c r="Z34">
        <f t="shared" si="2"/>
        <v>937332122.04790485</v>
      </c>
      <c r="AA34">
        <f t="shared" si="3"/>
        <v>1</v>
      </c>
      <c r="AB34">
        <f t="shared" si="4"/>
        <v>6095</v>
      </c>
      <c r="AC34">
        <f t="shared" si="5"/>
        <v>2514</v>
      </c>
      <c r="AD34">
        <f t="shared" si="10"/>
        <v>6320196</v>
      </c>
      <c r="AE34">
        <f t="shared" si="6"/>
        <v>4</v>
      </c>
      <c r="AF34">
        <f t="shared" si="11"/>
        <v>37149025</v>
      </c>
      <c r="AG34">
        <f t="shared" si="12"/>
        <v>39944877478416</v>
      </c>
      <c r="AH34">
        <f t="shared" si="13"/>
        <v>16</v>
      </c>
      <c r="AI34">
        <f t="shared" si="14"/>
        <v>15322830</v>
      </c>
      <c r="AJ34">
        <f t="shared" si="15"/>
        <v>38521594620</v>
      </c>
      <c r="AK34">
        <f t="shared" si="16"/>
        <v>24380</v>
      </c>
      <c r="AL34">
        <f t="shared" si="17"/>
        <v>15888972744</v>
      </c>
      <c r="AM34">
        <f t="shared" si="18"/>
        <v>10056</v>
      </c>
      <c r="AN34">
        <f t="shared" si="19"/>
        <v>25280784</v>
      </c>
      <c r="AO34">
        <f t="shared" si="7"/>
        <v>2.6170103235251256E+16</v>
      </c>
      <c r="AP34">
        <f t="shared" si="20"/>
        <v>5.4480871132023931E+18</v>
      </c>
      <c r="AQ34">
        <f t="shared" si="21"/>
        <v>5.4219170099671419E+18</v>
      </c>
      <c r="AS34" s="40">
        <v>-1.7003255144780686E-6</v>
      </c>
      <c r="AT34">
        <v>1.8709259061344591E-12</v>
      </c>
      <c r="AU34">
        <v>4.7681343224991339E-10</v>
      </c>
      <c r="AV34">
        <v>3.0837847793706897E-13</v>
      </c>
      <c r="AW34">
        <v>1.1017463881241823E-6</v>
      </c>
      <c r="AX34">
        <v>-2.4804696179765809E-17</v>
      </c>
      <c r="AY34">
        <v>-6.8116825341292697E-21</v>
      </c>
      <c r="AZ34">
        <v>-3.8976908229310807E-8</v>
      </c>
      <c r="BA34">
        <v>4.00062486004959E-15</v>
      </c>
      <c r="BB34">
        <v>-1.3950158314659834E-18</v>
      </c>
      <c r="BC34">
        <v>-5.5606770003155651E-13</v>
      </c>
      <c r="BD34">
        <v>-8.9846865156296524E-17</v>
      </c>
      <c r="BE34">
        <v>-7.6796089049809646E-10</v>
      </c>
      <c r="BF34" s="41">
        <v>1.6623844106323825E-13</v>
      </c>
    </row>
    <row r="35" spans="2:58">
      <c r="B35">
        <v>466275</v>
      </c>
      <c r="C35">
        <v>1</v>
      </c>
      <c r="D35">
        <v>8566</v>
      </c>
      <c r="E35">
        <v>2754</v>
      </c>
      <c r="F35">
        <f t="shared" si="8"/>
        <v>7584516</v>
      </c>
      <c r="G35">
        <v>5</v>
      </c>
      <c r="H35">
        <f t="shared" si="1"/>
        <v>5350885131.3592167</v>
      </c>
      <c r="I35">
        <f t="shared" si="9"/>
        <v>29835295664.02388</v>
      </c>
      <c r="Z35">
        <f t="shared" si="2"/>
        <v>5350885131.3592167</v>
      </c>
      <c r="AA35">
        <f t="shared" si="3"/>
        <v>1</v>
      </c>
      <c r="AB35">
        <f t="shared" si="4"/>
        <v>8566</v>
      </c>
      <c r="AC35">
        <f t="shared" si="5"/>
        <v>2754</v>
      </c>
      <c r="AD35">
        <f t="shared" si="10"/>
        <v>7584516</v>
      </c>
      <c r="AE35">
        <f t="shared" si="6"/>
        <v>5</v>
      </c>
      <c r="AF35">
        <f t="shared" si="11"/>
        <v>73376356</v>
      </c>
      <c r="AG35">
        <f t="shared" si="12"/>
        <v>57524882954256</v>
      </c>
      <c r="AH35">
        <f t="shared" si="13"/>
        <v>25</v>
      </c>
      <c r="AI35">
        <f t="shared" si="14"/>
        <v>23590764</v>
      </c>
      <c r="AJ35">
        <f t="shared" si="15"/>
        <v>64968964056</v>
      </c>
      <c r="AK35">
        <f t="shared" si="16"/>
        <v>42830</v>
      </c>
      <c r="AL35">
        <f t="shared" si="17"/>
        <v>20887757064</v>
      </c>
      <c r="AM35">
        <f t="shared" si="18"/>
        <v>13770</v>
      </c>
      <c r="AN35">
        <f t="shared" si="19"/>
        <v>37922580</v>
      </c>
      <c r="AO35">
        <f t="shared" si="7"/>
        <v>2.1941290373046678E+17</v>
      </c>
      <c r="AP35">
        <f t="shared" si="20"/>
        <v>4.3240675304781967E+18</v>
      </c>
      <c r="AQ35">
        <f t="shared" si="21"/>
        <v>4.1046546267477299E+18</v>
      </c>
    </row>
    <row r="36" spans="2:58">
      <c r="B36">
        <v>332500</v>
      </c>
      <c r="C36">
        <v>1</v>
      </c>
      <c r="D36">
        <v>9000</v>
      </c>
      <c r="E36">
        <v>2067</v>
      </c>
      <c r="F36">
        <f t="shared" si="8"/>
        <v>4272489</v>
      </c>
      <c r="G36">
        <v>3</v>
      </c>
      <c r="H36">
        <f t="shared" ref="H36:H67" si="22">(B36-L$22-L$23*D36-L$24*E36-L$25*F36-L$26*G36)^2</f>
        <v>2509925176.9837799</v>
      </c>
      <c r="I36">
        <f t="shared" si="9"/>
        <v>1517411460.0466146</v>
      </c>
      <c r="Z36">
        <f t="shared" ref="Z36:Z67" si="23">H36</f>
        <v>2509925176.9837799</v>
      </c>
      <c r="AA36">
        <f t="shared" ref="AA36:AA67" si="24">C36</f>
        <v>1</v>
      </c>
      <c r="AB36">
        <f t="shared" ref="AB36:AB67" si="25">D36</f>
        <v>9000</v>
      </c>
      <c r="AC36">
        <f t="shared" ref="AC36:AC67" si="26">E36</f>
        <v>2067</v>
      </c>
      <c r="AD36">
        <f t="shared" si="10"/>
        <v>4272489</v>
      </c>
      <c r="AE36">
        <f t="shared" ref="AE36:AE67" si="27">G36</f>
        <v>3</v>
      </c>
      <c r="AF36">
        <f t="shared" si="11"/>
        <v>81000000</v>
      </c>
      <c r="AG36">
        <f t="shared" si="12"/>
        <v>18254162255121</v>
      </c>
      <c r="AH36">
        <f t="shared" si="13"/>
        <v>9</v>
      </c>
      <c r="AI36">
        <f t="shared" si="14"/>
        <v>18603000</v>
      </c>
      <c r="AJ36">
        <f t="shared" si="15"/>
        <v>38452401000</v>
      </c>
      <c r="AK36">
        <f t="shared" si="16"/>
        <v>27000</v>
      </c>
      <c r="AL36">
        <f t="shared" si="17"/>
        <v>8831234763</v>
      </c>
      <c r="AM36">
        <f t="shared" si="18"/>
        <v>6201</v>
      </c>
      <c r="AN36">
        <f t="shared" si="19"/>
        <v>12817467</v>
      </c>
      <c r="AO36">
        <f t="shared" ref="AO36:AO67" si="28">(Z36-AU$37-AU$38*AB36-AU$39*AC36-AU$40*AD36-AU$41*AE36-AU$42*AF36-AU$43*AG36-AU$44*AH36-AU$45*AI36-AU$46*AJ36-AU$47*AK36-AU$48*AL36-AU$49*AM36-AU$50*AN36)^2</f>
        <v>2.9611984042718756E+18</v>
      </c>
      <c r="AP36">
        <f t="shared" si="20"/>
        <v>5.7991380661640435E+17</v>
      </c>
      <c r="AQ36">
        <f t="shared" si="21"/>
        <v>-2.3812845976554711E+18</v>
      </c>
    </row>
    <row r="37" spans="2:58">
      <c r="B37">
        <v>315000</v>
      </c>
      <c r="C37">
        <v>1</v>
      </c>
      <c r="D37">
        <v>6210</v>
      </c>
      <c r="E37">
        <v>1731</v>
      </c>
      <c r="F37">
        <f t="shared" si="8"/>
        <v>2996361</v>
      </c>
      <c r="G37">
        <v>3</v>
      </c>
      <c r="H37">
        <f t="shared" si="22"/>
        <v>4916040528.9980564</v>
      </c>
      <c r="I37">
        <f t="shared" si="9"/>
        <v>460272653.22843379</v>
      </c>
      <c r="Z37">
        <f t="shared" si="23"/>
        <v>4916040528.9980564</v>
      </c>
      <c r="AA37">
        <f t="shared" si="24"/>
        <v>1</v>
      </c>
      <c r="AB37">
        <f t="shared" si="25"/>
        <v>6210</v>
      </c>
      <c r="AC37">
        <f t="shared" si="26"/>
        <v>1731</v>
      </c>
      <c r="AD37">
        <f t="shared" si="10"/>
        <v>2996361</v>
      </c>
      <c r="AE37">
        <f t="shared" si="27"/>
        <v>3</v>
      </c>
      <c r="AF37">
        <f t="shared" si="11"/>
        <v>38564100</v>
      </c>
      <c r="AG37">
        <f t="shared" si="12"/>
        <v>8978179242321</v>
      </c>
      <c r="AH37">
        <f t="shared" si="13"/>
        <v>9</v>
      </c>
      <c r="AI37">
        <f t="shared" si="14"/>
        <v>10749510</v>
      </c>
      <c r="AJ37">
        <f t="shared" si="15"/>
        <v>18607401810</v>
      </c>
      <c r="AK37">
        <f t="shared" si="16"/>
        <v>18630</v>
      </c>
      <c r="AL37">
        <f t="shared" si="17"/>
        <v>5186700891</v>
      </c>
      <c r="AM37">
        <f t="shared" si="18"/>
        <v>5193</v>
      </c>
      <c r="AN37">
        <f t="shared" si="19"/>
        <v>8989083</v>
      </c>
      <c r="AO37">
        <f t="shared" si="28"/>
        <v>5.4457327128010209E+18</v>
      </c>
      <c r="AP37">
        <f t="shared" si="20"/>
        <v>2.7046915044555259E+18</v>
      </c>
      <c r="AQ37">
        <f t="shared" si="21"/>
        <v>-2.741041208345495E+18</v>
      </c>
      <c r="AS37" s="42">
        <f t="array" ref="AS37:AS50">MMULT(TRANSPOSE(AA4:AN91),Z4:Z91)</f>
        <v>287887238913.026</v>
      </c>
      <c r="AU37" s="42">
        <f t="array" ref="AU37:AU50">MMULT(AS21:BF34,AS37:AS50)</f>
        <v>-127538974777.82227</v>
      </c>
      <c r="AW37" s="50"/>
    </row>
    <row r="38" spans="2:58">
      <c r="B38">
        <v>285000</v>
      </c>
      <c r="C38">
        <v>1</v>
      </c>
      <c r="D38">
        <v>6000</v>
      </c>
      <c r="E38">
        <v>2336</v>
      </c>
      <c r="F38">
        <f t="shared" si="8"/>
        <v>5456896</v>
      </c>
      <c r="G38">
        <v>4</v>
      </c>
      <c r="H38">
        <f t="shared" si="22"/>
        <v>1229526311.0727794</v>
      </c>
      <c r="I38">
        <f t="shared" si="9"/>
        <v>73034698.682980821</v>
      </c>
      <c r="Z38">
        <f t="shared" si="23"/>
        <v>1229526311.0727794</v>
      </c>
      <c r="AA38">
        <f t="shared" si="24"/>
        <v>1</v>
      </c>
      <c r="AB38">
        <f t="shared" si="25"/>
        <v>6000</v>
      </c>
      <c r="AC38">
        <f t="shared" si="26"/>
        <v>2336</v>
      </c>
      <c r="AD38">
        <f t="shared" si="10"/>
        <v>5456896</v>
      </c>
      <c r="AE38">
        <f t="shared" si="27"/>
        <v>4</v>
      </c>
      <c r="AF38">
        <f t="shared" si="11"/>
        <v>36000000</v>
      </c>
      <c r="AG38">
        <f t="shared" si="12"/>
        <v>29777713954816</v>
      </c>
      <c r="AH38">
        <f t="shared" si="13"/>
        <v>16</v>
      </c>
      <c r="AI38">
        <f t="shared" si="14"/>
        <v>14016000</v>
      </c>
      <c r="AJ38">
        <f t="shared" si="15"/>
        <v>32741376000</v>
      </c>
      <c r="AK38">
        <f t="shared" si="16"/>
        <v>24000</v>
      </c>
      <c r="AL38">
        <f t="shared" si="17"/>
        <v>12747309056</v>
      </c>
      <c r="AM38">
        <f t="shared" si="18"/>
        <v>9344</v>
      </c>
      <c r="AN38">
        <f t="shared" si="19"/>
        <v>21827584</v>
      </c>
      <c r="AO38">
        <f t="shared" si="28"/>
        <v>1.2679607184125368E+18</v>
      </c>
      <c r="AP38">
        <f t="shared" si="20"/>
        <v>4.1694355943270308E+18</v>
      </c>
      <c r="AQ38">
        <f t="shared" si="21"/>
        <v>2.901474875914494E+18</v>
      </c>
      <c r="AS38" s="42">
        <v>4313459559783670.5</v>
      </c>
      <c r="AU38" s="42">
        <v>-3539827.9507337995</v>
      </c>
      <c r="AV38" s="38" t="s">
        <v>154</v>
      </c>
      <c r="AW38" s="66">
        <f>AVERAGE(Z4:Z91)</f>
        <v>3271445896.7389317</v>
      </c>
      <c r="AX38" s="50"/>
      <c r="AY38" s="50"/>
    </row>
    <row r="39" spans="2:58">
      <c r="B39">
        <v>300000</v>
      </c>
      <c r="C39">
        <v>1</v>
      </c>
      <c r="D39">
        <v>7047</v>
      </c>
      <c r="E39">
        <v>2634</v>
      </c>
      <c r="F39">
        <f t="shared" si="8"/>
        <v>6937956</v>
      </c>
      <c r="G39">
        <v>5</v>
      </c>
      <c r="H39">
        <f t="shared" si="22"/>
        <v>5399265502.9637032</v>
      </c>
      <c r="I39">
        <f t="shared" si="9"/>
        <v>41653675.955707304</v>
      </c>
      <c r="Z39">
        <f t="shared" si="23"/>
        <v>5399265502.9637032</v>
      </c>
      <c r="AA39">
        <f t="shared" si="24"/>
        <v>1</v>
      </c>
      <c r="AB39">
        <f t="shared" si="25"/>
        <v>7047</v>
      </c>
      <c r="AC39">
        <f t="shared" si="26"/>
        <v>2634</v>
      </c>
      <c r="AD39">
        <f t="shared" si="10"/>
        <v>6937956</v>
      </c>
      <c r="AE39">
        <f t="shared" si="27"/>
        <v>5</v>
      </c>
      <c r="AF39">
        <f t="shared" si="11"/>
        <v>49660209</v>
      </c>
      <c r="AG39">
        <f t="shared" si="12"/>
        <v>48135233457936</v>
      </c>
      <c r="AH39">
        <f t="shared" si="13"/>
        <v>25</v>
      </c>
      <c r="AI39">
        <f t="shared" si="14"/>
        <v>18561798</v>
      </c>
      <c r="AJ39">
        <f t="shared" si="15"/>
        <v>48891775932</v>
      </c>
      <c r="AK39">
        <f t="shared" si="16"/>
        <v>35235</v>
      </c>
      <c r="AL39">
        <f t="shared" si="17"/>
        <v>18274576104</v>
      </c>
      <c r="AM39">
        <f t="shared" si="18"/>
        <v>13170</v>
      </c>
      <c r="AN39">
        <f t="shared" si="19"/>
        <v>34689780</v>
      </c>
      <c r="AO39">
        <f t="shared" si="28"/>
        <v>9.6368985363381555E+18</v>
      </c>
      <c r="AP39">
        <f t="shared" si="20"/>
        <v>4.5276162766345416E+18</v>
      </c>
      <c r="AQ39">
        <f t="shared" si="21"/>
        <v>-5.1092822597036134E+18</v>
      </c>
      <c r="AS39" s="42">
        <v>682104814361041.37</v>
      </c>
      <c r="AU39" s="42">
        <v>287321010.48833656</v>
      </c>
      <c r="AV39" s="61" t="s">
        <v>114</v>
      </c>
      <c r="AW39" s="50">
        <f>(AO92/(88-14))^0.5</f>
        <v>5622668893.5170031</v>
      </c>
      <c r="AX39" s="50"/>
      <c r="AY39" s="50"/>
    </row>
    <row r="40" spans="2:58" ht="17.25">
      <c r="B40">
        <v>405000</v>
      </c>
      <c r="C40">
        <v>1</v>
      </c>
      <c r="D40">
        <v>12237</v>
      </c>
      <c r="E40">
        <v>3375</v>
      </c>
      <c r="F40">
        <f t="shared" si="8"/>
        <v>11390625</v>
      </c>
      <c r="G40">
        <v>3</v>
      </c>
      <c r="H40">
        <f t="shared" si="22"/>
        <v>4566800556.1532936</v>
      </c>
      <c r="I40">
        <f t="shared" si="9"/>
        <v>12421986516.864792</v>
      </c>
      <c r="Z40">
        <f t="shared" si="23"/>
        <v>4566800556.1532936</v>
      </c>
      <c r="AA40">
        <f t="shared" si="24"/>
        <v>1</v>
      </c>
      <c r="AB40">
        <f t="shared" si="25"/>
        <v>12237</v>
      </c>
      <c r="AC40">
        <f t="shared" si="26"/>
        <v>3375</v>
      </c>
      <c r="AD40">
        <f t="shared" si="10"/>
        <v>11390625</v>
      </c>
      <c r="AE40">
        <f t="shared" si="27"/>
        <v>3</v>
      </c>
      <c r="AF40">
        <f t="shared" si="11"/>
        <v>149744169</v>
      </c>
      <c r="AG40">
        <f t="shared" si="12"/>
        <v>129746337890625</v>
      </c>
      <c r="AH40">
        <f t="shared" si="13"/>
        <v>9</v>
      </c>
      <c r="AI40">
        <f t="shared" si="14"/>
        <v>41299875</v>
      </c>
      <c r="AJ40">
        <f t="shared" si="15"/>
        <v>139387078125</v>
      </c>
      <c r="AK40">
        <f t="shared" si="16"/>
        <v>36711</v>
      </c>
      <c r="AL40">
        <f t="shared" si="17"/>
        <v>38443359375</v>
      </c>
      <c r="AM40">
        <f t="shared" si="18"/>
        <v>10125</v>
      </c>
      <c r="AN40">
        <f t="shared" si="19"/>
        <v>34171875</v>
      </c>
      <c r="AO40">
        <f t="shared" si="28"/>
        <v>5.5158335506957402E+19</v>
      </c>
      <c r="AP40">
        <f t="shared" si="20"/>
        <v>1.6779436936664975E+18</v>
      </c>
      <c r="AQ40">
        <f t="shared" si="21"/>
        <v>-5.3480391813290902E+19</v>
      </c>
      <c r="AS40" s="42">
        <v>1.8066266180203707E+18</v>
      </c>
      <c r="AU40" s="42">
        <v>-215130.38257781416</v>
      </c>
      <c r="AV40" s="38" t="s">
        <v>156</v>
      </c>
      <c r="AW40" s="50">
        <f>1-AO92/AP92</f>
        <v>0.38143020191097943</v>
      </c>
    </row>
    <row r="41" spans="2:58">
      <c r="B41">
        <v>265000</v>
      </c>
      <c r="C41">
        <v>1</v>
      </c>
      <c r="D41">
        <v>6519</v>
      </c>
      <c r="E41">
        <v>2312</v>
      </c>
      <c r="F41">
        <f t="shared" si="8"/>
        <v>5345344</v>
      </c>
      <c r="G41">
        <v>3</v>
      </c>
      <c r="H41">
        <f t="shared" si="22"/>
        <v>1590421734.253479</v>
      </c>
      <c r="I41">
        <f t="shared" si="9"/>
        <v>814876062.31934547</v>
      </c>
      <c r="Z41">
        <f t="shared" si="23"/>
        <v>1590421734.253479</v>
      </c>
      <c r="AA41">
        <f t="shared" si="24"/>
        <v>1</v>
      </c>
      <c r="AB41">
        <f t="shared" si="25"/>
        <v>6519</v>
      </c>
      <c r="AC41">
        <f t="shared" si="26"/>
        <v>2312</v>
      </c>
      <c r="AD41">
        <f t="shared" si="10"/>
        <v>5345344</v>
      </c>
      <c r="AE41">
        <f t="shared" si="27"/>
        <v>3</v>
      </c>
      <c r="AF41">
        <f t="shared" si="11"/>
        <v>42497361</v>
      </c>
      <c r="AG41">
        <f t="shared" si="12"/>
        <v>28572702478336</v>
      </c>
      <c r="AH41">
        <f t="shared" si="13"/>
        <v>9</v>
      </c>
      <c r="AI41">
        <f t="shared" si="14"/>
        <v>15071928</v>
      </c>
      <c r="AJ41">
        <f t="shared" si="15"/>
        <v>34846297536</v>
      </c>
      <c r="AK41">
        <f t="shared" si="16"/>
        <v>19557</v>
      </c>
      <c r="AL41">
        <f t="shared" si="17"/>
        <v>12358435328</v>
      </c>
      <c r="AM41">
        <f t="shared" si="18"/>
        <v>6936</v>
      </c>
      <c r="AN41">
        <f t="shared" si="19"/>
        <v>16036032</v>
      </c>
      <c r="AO41">
        <f t="shared" si="28"/>
        <v>3.8009077225398758E+18</v>
      </c>
      <c r="AP41">
        <f t="shared" si="20"/>
        <v>2.8258422348599173E+18</v>
      </c>
      <c r="AQ41">
        <f t="shared" si="21"/>
        <v>-9.7506548767995853E+17</v>
      </c>
      <c r="AS41" s="42">
        <v>1152727793385.4883</v>
      </c>
      <c r="AU41" s="42">
        <v>-1087587094.7832031</v>
      </c>
      <c r="AW41" s="50"/>
      <c r="AX41" s="50"/>
      <c r="AY41" s="50"/>
    </row>
    <row r="42" spans="2:58">
      <c r="B42">
        <v>227400</v>
      </c>
      <c r="C42">
        <v>1</v>
      </c>
      <c r="D42">
        <v>3597</v>
      </c>
      <c r="E42">
        <v>1760</v>
      </c>
      <c r="F42">
        <f t="shared" si="8"/>
        <v>3097600</v>
      </c>
      <c r="G42">
        <v>4</v>
      </c>
      <c r="H42">
        <f t="shared" si="22"/>
        <v>799371749.97999239</v>
      </c>
      <c r="I42">
        <f t="shared" si="9"/>
        <v>4375297825.9557114</v>
      </c>
      <c r="Z42">
        <f t="shared" si="23"/>
        <v>799371749.97999239</v>
      </c>
      <c r="AA42">
        <f t="shared" si="24"/>
        <v>1</v>
      </c>
      <c r="AB42">
        <f t="shared" si="25"/>
        <v>3597</v>
      </c>
      <c r="AC42">
        <f t="shared" si="26"/>
        <v>1760</v>
      </c>
      <c r="AD42">
        <f t="shared" si="10"/>
        <v>3097600</v>
      </c>
      <c r="AE42">
        <f t="shared" si="27"/>
        <v>4</v>
      </c>
      <c r="AF42">
        <f t="shared" si="11"/>
        <v>12938409</v>
      </c>
      <c r="AG42">
        <f t="shared" si="12"/>
        <v>9595125760000</v>
      </c>
      <c r="AH42">
        <f t="shared" si="13"/>
        <v>16</v>
      </c>
      <c r="AI42">
        <f t="shared" si="14"/>
        <v>6330720</v>
      </c>
      <c r="AJ42">
        <f t="shared" si="15"/>
        <v>11142067200</v>
      </c>
      <c r="AK42">
        <f t="shared" si="16"/>
        <v>14388</v>
      </c>
      <c r="AL42">
        <f t="shared" si="17"/>
        <v>5451776000</v>
      </c>
      <c r="AM42">
        <f t="shared" si="18"/>
        <v>7040</v>
      </c>
      <c r="AN42">
        <f t="shared" si="19"/>
        <v>12390400</v>
      </c>
      <c r="AO42">
        <f t="shared" si="28"/>
        <v>2.0455821161328906E+18</v>
      </c>
      <c r="AP42">
        <f t="shared" si="20"/>
        <v>6.1111505870739374E+18</v>
      </c>
      <c r="AQ42">
        <f t="shared" si="21"/>
        <v>4.0655684709410468E+18</v>
      </c>
      <c r="AS42" s="42">
        <v>1.5702893568000315E+20</v>
      </c>
      <c r="AU42" s="42">
        <v>-1.6218808843514978</v>
      </c>
      <c r="AV42" s="38" t="s">
        <v>161</v>
      </c>
      <c r="AW42" s="69">
        <f>AW40/(1-AW40)*(88-14)/(14-1)</f>
        <v>3.5100615631800971</v>
      </c>
    </row>
    <row r="43" spans="2:58" ht="17.25">
      <c r="B43">
        <v>285000</v>
      </c>
      <c r="C43">
        <v>1</v>
      </c>
      <c r="D43">
        <v>7123</v>
      </c>
      <c r="E43">
        <v>1774</v>
      </c>
      <c r="F43">
        <f t="shared" si="8"/>
        <v>3147076</v>
      </c>
      <c r="G43">
        <v>3</v>
      </c>
      <c r="H43">
        <f t="shared" si="22"/>
        <v>1195639418.3246002</v>
      </c>
      <c r="I43">
        <f t="shared" si="9"/>
        <v>73034698.682980821</v>
      </c>
      <c r="Z43">
        <f t="shared" si="23"/>
        <v>1195639418.3246002</v>
      </c>
      <c r="AA43">
        <f t="shared" si="24"/>
        <v>1</v>
      </c>
      <c r="AB43">
        <f t="shared" si="25"/>
        <v>7123</v>
      </c>
      <c r="AC43">
        <f t="shared" si="26"/>
        <v>1774</v>
      </c>
      <c r="AD43">
        <f t="shared" si="10"/>
        <v>3147076</v>
      </c>
      <c r="AE43">
        <f t="shared" si="27"/>
        <v>3</v>
      </c>
      <c r="AF43">
        <f t="shared" si="11"/>
        <v>50737129</v>
      </c>
      <c r="AG43">
        <f t="shared" si="12"/>
        <v>9904087349776</v>
      </c>
      <c r="AH43">
        <f t="shared" si="13"/>
        <v>9</v>
      </c>
      <c r="AI43">
        <f t="shared" si="14"/>
        <v>12636202</v>
      </c>
      <c r="AJ43">
        <f t="shared" si="15"/>
        <v>22416622348</v>
      </c>
      <c r="AK43">
        <f t="shared" si="16"/>
        <v>21369</v>
      </c>
      <c r="AL43">
        <f t="shared" si="17"/>
        <v>5582912824</v>
      </c>
      <c r="AM43">
        <f t="shared" si="18"/>
        <v>5322</v>
      </c>
      <c r="AN43">
        <f t="shared" si="19"/>
        <v>9441228</v>
      </c>
      <c r="AO43">
        <f t="shared" si="28"/>
        <v>1.1637741824510367E+18</v>
      </c>
      <c r="AP43">
        <f t="shared" si="20"/>
        <v>4.3089725358269082E+18</v>
      </c>
      <c r="AQ43">
        <f t="shared" si="21"/>
        <v>3.1451983533758715E+18</v>
      </c>
      <c r="AR43" s="38" t="s">
        <v>95</v>
      </c>
      <c r="AS43" s="42">
        <v>1.633413743851446E+25</v>
      </c>
      <c r="AT43" s="39" t="s">
        <v>96</v>
      </c>
      <c r="AU43" s="42">
        <v>-6.7333611614302305E-3</v>
      </c>
      <c r="AV43" s="38" t="s">
        <v>129</v>
      </c>
      <c r="AW43" s="46">
        <f>COUNT(AA4:AA91)*AW40</f>
        <v>33.56585776816619</v>
      </c>
      <c r="AX43" s="46" t="s">
        <v>157</v>
      </c>
    </row>
    <row r="44" spans="2:58">
      <c r="B44">
        <v>268000</v>
      </c>
      <c r="C44">
        <v>1</v>
      </c>
      <c r="D44">
        <v>5642</v>
      </c>
      <c r="E44">
        <v>1376</v>
      </c>
      <c r="F44">
        <f t="shared" si="8"/>
        <v>1893376</v>
      </c>
      <c r="G44">
        <v>3</v>
      </c>
      <c r="H44">
        <f t="shared" si="22"/>
        <v>2641853638.3648443</v>
      </c>
      <c r="I44">
        <f t="shared" si="9"/>
        <v>652599857.77389085</v>
      </c>
      <c r="Z44">
        <f t="shared" si="23"/>
        <v>2641853638.3648443</v>
      </c>
      <c r="AA44">
        <f t="shared" si="24"/>
        <v>1</v>
      </c>
      <c r="AB44">
        <f t="shared" si="25"/>
        <v>5642</v>
      </c>
      <c r="AC44">
        <f t="shared" si="26"/>
        <v>1376</v>
      </c>
      <c r="AD44">
        <f t="shared" si="10"/>
        <v>1893376</v>
      </c>
      <c r="AE44">
        <f t="shared" si="27"/>
        <v>3</v>
      </c>
      <c r="AF44">
        <f t="shared" si="11"/>
        <v>31832164</v>
      </c>
      <c r="AG44">
        <f t="shared" si="12"/>
        <v>3584872677376</v>
      </c>
      <c r="AH44">
        <f t="shared" si="13"/>
        <v>9</v>
      </c>
      <c r="AI44">
        <f t="shared" si="14"/>
        <v>7763392</v>
      </c>
      <c r="AJ44">
        <f t="shared" si="15"/>
        <v>10682427392</v>
      </c>
      <c r="AK44">
        <f t="shared" si="16"/>
        <v>16926</v>
      </c>
      <c r="AL44">
        <f t="shared" si="17"/>
        <v>2605285376</v>
      </c>
      <c r="AM44">
        <f t="shared" si="18"/>
        <v>4128</v>
      </c>
      <c r="AN44">
        <f t="shared" si="19"/>
        <v>5680128</v>
      </c>
      <c r="AO44">
        <f t="shared" si="28"/>
        <v>2.037567962676118E+18</v>
      </c>
      <c r="AP44">
        <f t="shared" si="20"/>
        <v>3.9638641180458355E+17</v>
      </c>
      <c r="AQ44">
        <f t="shared" si="21"/>
        <v>-1.6411815508715346E+18</v>
      </c>
      <c r="AS44" s="42">
        <v>4842206314807.5391</v>
      </c>
      <c r="AU44" s="42">
        <v>-389758287.03967285</v>
      </c>
    </row>
    <row r="45" spans="2:58" ht="17.25">
      <c r="B45">
        <v>310000</v>
      </c>
      <c r="C45">
        <v>1</v>
      </c>
      <c r="D45">
        <v>8602</v>
      </c>
      <c r="E45">
        <v>1835</v>
      </c>
      <c r="F45">
        <f t="shared" si="8"/>
        <v>3367225</v>
      </c>
      <c r="G45">
        <v>4</v>
      </c>
      <c r="H45">
        <f t="shared" si="22"/>
        <v>1432676537.0399358</v>
      </c>
      <c r="I45">
        <f t="shared" si="9"/>
        <v>270732994.13752496</v>
      </c>
      <c r="Z45">
        <f t="shared" si="23"/>
        <v>1432676537.0399358</v>
      </c>
      <c r="AA45">
        <f t="shared" si="24"/>
        <v>1</v>
      </c>
      <c r="AB45">
        <f t="shared" si="25"/>
        <v>8602</v>
      </c>
      <c r="AC45">
        <f t="shared" si="26"/>
        <v>1835</v>
      </c>
      <c r="AD45">
        <f t="shared" si="10"/>
        <v>3367225</v>
      </c>
      <c r="AE45">
        <f t="shared" si="27"/>
        <v>4</v>
      </c>
      <c r="AF45">
        <f t="shared" si="11"/>
        <v>73994404</v>
      </c>
      <c r="AG45">
        <f t="shared" si="12"/>
        <v>11338204200625</v>
      </c>
      <c r="AH45">
        <f t="shared" si="13"/>
        <v>16</v>
      </c>
      <c r="AI45">
        <f t="shared" si="14"/>
        <v>15784670</v>
      </c>
      <c r="AJ45">
        <f t="shared" si="15"/>
        <v>28964869450</v>
      </c>
      <c r="AK45">
        <f t="shared" si="16"/>
        <v>34408</v>
      </c>
      <c r="AL45">
        <f t="shared" si="17"/>
        <v>6178857875</v>
      </c>
      <c r="AM45">
        <f t="shared" si="18"/>
        <v>7340</v>
      </c>
      <c r="AN45">
        <f t="shared" si="19"/>
        <v>13468900</v>
      </c>
      <c r="AO45">
        <f t="shared" si="28"/>
        <v>3.2974236060904202E+18</v>
      </c>
      <c r="AP45">
        <f t="shared" si="20"/>
        <v>3.3810727581678551E+18</v>
      </c>
      <c r="AQ45">
        <f t="shared" si="21"/>
        <v>8.364915207743488E+16</v>
      </c>
      <c r="AR45" s="38"/>
      <c r="AS45" s="42">
        <v>1.1134870703175154E+19</v>
      </c>
      <c r="AU45" s="42">
        <v>2325.7995851482883</v>
      </c>
      <c r="AV45" s="38" t="s">
        <v>159</v>
      </c>
      <c r="AW45" s="68">
        <f>H92/(COUNT(C4:C91)-5)</f>
        <v>3468520950.7593493</v>
      </c>
    </row>
    <row r="46" spans="2:58">
      <c r="B46">
        <v>266000</v>
      </c>
      <c r="C46">
        <v>1</v>
      </c>
      <c r="D46">
        <v>5494</v>
      </c>
      <c r="E46">
        <v>2048</v>
      </c>
      <c r="F46">
        <f t="shared" si="8"/>
        <v>4194304</v>
      </c>
      <c r="G46">
        <v>3</v>
      </c>
      <c r="H46">
        <f t="shared" si="22"/>
        <v>57834983.672359049</v>
      </c>
      <c r="I46">
        <f t="shared" si="9"/>
        <v>758783994.13752723</v>
      </c>
      <c r="Z46">
        <f t="shared" si="23"/>
        <v>57834983.672359049</v>
      </c>
      <c r="AA46">
        <f t="shared" si="24"/>
        <v>1</v>
      </c>
      <c r="AB46">
        <f t="shared" si="25"/>
        <v>5494</v>
      </c>
      <c r="AC46">
        <f t="shared" si="26"/>
        <v>2048</v>
      </c>
      <c r="AD46">
        <f t="shared" si="10"/>
        <v>4194304</v>
      </c>
      <c r="AE46">
        <f t="shared" si="27"/>
        <v>3</v>
      </c>
      <c r="AF46">
        <f t="shared" si="11"/>
        <v>30184036</v>
      </c>
      <c r="AG46">
        <f t="shared" si="12"/>
        <v>17592186044416</v>
      </c>
      <c r="AH46">
        <f t="shared" si="13"/>
        <v>9</v>
      </c>
      <c r="AI46">
        <f t="shared" si="14"/>
        <v>11251712</v>
      </c>
      <c r="AJ46">
        <f t="shared" si="15"/>
        <v>23043506176</v>
      </c>
      <c r="AK46">
        <f t="shared" si="16"/>
        <v>16482</v>
      </c>
      <c r="AL46">
        <f t="shared" si="17"/>
        <v>8589934592</v>
      </c>
      <c r="AM46">
        <f t="shared" si="18"/>
        <v>6144</v>
      </c>
      <c r="AN46">
        <f t="shared" si="19"/>
        <v>12582912</v>
      </c>
      <c r="AO46">
        <f t="shared" si="28"/>
        <v>719479915331998.62</v>
      </c>
      <c r="AP46">
        <f t="shared" si="20"/>
        <v>1.0327295100580571E+19</v>
      </c>
      <c r="AQ46">
        <f t="shared" si="21"/>
        <v>1.032657562066524E+19</v>
      </c>
      <c r="AS46" s="42">
        <v>3.177725846147553E+22</v>
      </c>
      <c r="AT46" s="50"/>
      <c r="AU46" s="42">
        <v>-0.42429185308702522</v>
      </c>
      <c r="AV46" s="38" t="s">
        <v>129</v>
      </c>
      <c r="AW46" s="46">
        <f>AQ92/(2*AW45^2)</f>
        <v>59.954869960972218</v>
      </c>
      <c r="AX46" s="46" t="s">
        <v>158</v>
      </c>
    </row>
    <row r="47" spans="2:58">
      <c r="B47">
        <v>270000</v>
      </c>
      <c r="C47">
        <v>1</v>
      </c>
      <c r="D47">
        <v>7800</v>
      </c>
      <c r="E47">
        <v>2124</v>
      </c>
      <c r="F47">
        <f t="shared" si="8"/>
        <v>4511376</v>
      </c>
      <c r="G47">
        <v>3</v>
      </c>
      <c r="H47">
        <f t="shared" si="22"/>
        <v>260052009.82116354</v>
      </c>
      <c r="I47">
        <f t="shared" si="9"/>
        <v>554415721.41025436</v>
      </c>
      <c r="Z47">
        <f t="shared" si="23"/>
        <v>260052009.82116354</v>
      </c>
      <c r="AA47">
        <f t="shared" si="24"/>
        <v>1</v>
      </c>
      <c r="AB47">
        <f t="shared" si="25"/>
        <v>7800</v>
      </c>
      <c r="AC47">
        <f t="shared" si="26"/>
        <v>2124</v>
      </c>
      <c r="AD47">
        <f t="shared" si="10"/>
        <v>4511376</v>
      </c>
      <c r="AE47">
        <f t="shared" si="27"/>
        <v>3</v>
      </c>
      <c r="AF47">
        <f t="shared" si="11"/>
        <v>60840000</v>
      </c>
      <c r="AG47">
        <f t="shared" si="12"/>
        <v>20352513413376</v>
      </c>
      <c r="AH47">
        <f t="shared" si="13"/>
        <v>9</v>
      </c>
      <c r="AI47">
        <f t="shared" si="14"/>
        <v>16567200</v>
      </c>
      <c r="AJ47">
        <f t="shared" si="15"/>
        <v>35188732800</v>
      </c>
      <c r="AK47">
        <f t="shared" si="16"/>
        <v>23400</v>
      </c>
      <c r="AL47">
        <f t="shared" si="17"/>
        <v>9582162624</v>
      </c>
      <c r="AM47">
        <f t="shared" si="18"/>
        <v>6372</v>
      </c>
      <c r="AN47">
        <f t="shared" si="19"/>
        <v>13534128</v>
      </c>
      <c r="AO47">
        <f t="shared" si="28"/>
        <v>1173105835594882.5</v>
      </c>
      <c r="AP47">
        <f t="shared" si="20"/>
        <v>9.0684931421657027E+18</v>
      </c>
      <c r="AQ47">
        <f t="shared" si="21"/>
        <v>9.0673200363301079E+18</v>
      </c>
      <c r="AS47" s="42">
        <v>1.8585646982229076E+16</v>
      </c>
      <c r="AT47" s="50"/>
      <c r="AU47" s="42">
        <v>267199.30849487428</v>
      </c>
    </row>
    <row r="48" spans="2:58">
      <c r="B48">
        <v>247000</v>
      </c>
      <c r="C48">
        <v>1</v>
      </c>
      <c r="D48">
        <v>9425</v>
      </c>
      <c r="E48">
        <v>1440</v>
      </c>
      <c r="F48">
        <f t="shared" si="8"/>
        <v>2073600</v>
      </c>
      <c r="G48">
        <v>3</v>
      </c>
      <c r="H48">
        <f t="shared" si="22"/>
        <v>348004429.43794143</v>
      </c>
      <c r="I48">
        <f t="shared" si="9"/>
        <v>2166533289.5920739</v>
      </c>
      <c r="Z48">
        <f t="shared" si="23"/>
        <v>348004429.43794143</v>
      </c>
      <c r="AA48">
        <f t="shared" si="24"/>
        <v>1</v>
      </c>
      <c r="AB48">
        <f t="shared" si="25"/>
        <v>9425</v>
      </c>
      <c r="AC48">
        <f t="shared" si="26"/>
        <v>1440</v>
      </c>
      <c r="AD48">
        <f t="shared" si="10"/>
        <v>2073600</v>
      </c>
      <c r="AE48">
        <f t="shared" si="27"/>
        <v>3</v>
      </c>
      <c r="AF48">
        <f t="shared" si="11"/>
        <v>88830625</v>
      </c>
      <c r="AG48">
        <f t="shared" si="12"/>
        <v>4299816960000</v>
      </c>
      <c r="AH48">
        <f t="shared" si="13"/>
        <v>9</v>
      </c>
      <c r="AI48">
        <f t="shared" si="14"/>
        <v>13572000</v>
      </c>
      <c r="AJ48">
        <f t="shared" si="15"/>
        <v>19543680000</v>
      </c>
      <c r="AK48">
        <f t="shared" si="16"/>
        <v>28275</v>
      </c>
      <c r="AL48">
        <f t="shared" si="17"/>
        <v>2985984000</v>
      </c>
      <c r="AM48">
        <f t="shared" si="18"/>
        <v>4320</v>
      </c>
      <c r="AN48">
        <f t="shared" si="19"/>
        <v>6220800</v>
      </c>
      <c r="AO48">
        <f t="shared" si="28"/>
        <v>7.1539143177901261E+18</v>
      </c>
      <c r="AP48">
        <f t="shared" si="20"/>
        <v>8.5465100127349658E+18</v>
      </c>
      <c r="AQ48">
        <f t="shared" si="21"/>
        <v>1.3925956949448397E+18</v>
      </c>
      <c r="AS48" s="42">
        <v>5.2504361194577818E+21</v>
      </c>
      <c r="AU48" s="42">
        <v>64.824194355153622</v>
      </c>
      <c r="AW48" s="50"/>
      <c r="AX48" s="50"/>
    </row>
    <row r="49" spans="2:49">
      <c r="B49">
        <v>343000</v>
      </c>
      <c r="C49">
        <v>1</v>
      </c>
      <c r="D49">
        <v>8577</v>
      </c>
      <c r="E49">
        <v>2106</v>
      </c>
      <c r="F49">
        <f t="shared" si="8"/>
        <v>4435236</v>
      </c>
      <c r="G49">
        <v>3</v>
      </c>
      <c r="H49">
        <f t="shared" si="22"/>
        <v>3282792694.8094411</v>
      </c>
      <c r="I49">
        <f t="shared" si="9"/>
        <v>2445694744.1375232</v>
      </c>
      <c r="Z49">
        <f t="shared" si="23"/>
        <v>3282792694.8094411</v>
      </c>
      <c r="AA49">
        <f t="shared" si="24"/>
        <v>1</v>
      </c>
      <c r="AB49">
        <f t="shared" si="25"/>
        <v>8577</v>
      </c>
      <c r="AC49">
        <f t="shared" si="26"/>
        <v>2106</v>
      </c>
      <c r="AD49">
        <f t="shared" si="10"/>
        <v>4435236</v>
      </c>
      <c r="AE49">
        <f t="shared" si="27"/>
        <v>3</v>
      </c>
      <c r="AF49">
        <f t="shared" si="11"/>
        <v>73564929</v>
      </c>
      <c r="AG49">
        <f t="shared" si="12"/>
        <v>19671318375696</v>
      </c>
      <c r="AH49">
        <f t="shared" si="13"/>
        <v>9</v>
      </c>
      <c r="AI49">
        <f t="shared" si="14"/>
        <v>18063162</v>
      </c>
      <c r="AJ49">
        <f t="shared" si="15"/>
        <v>38041019172</v>
      </c>
      <c r="AK49">
        <f t="shared" si="16"/>
        <v>25731</v>
      </c>
      <c r="AL49">
        <f t="shared" si="17"/>
        <v>9340607016</v>
      </c>
      <c r="AM49">
        <f t="shared" si="18"/>
        <v>6318</v>
      </c>
      <c r="AN49">
        <f t="shared" si="19"/>
        <v>13305708</v>
      </c>
      <c r="AO49">
        <f t="shared" si="28"/>
        <v>7.4558719503916493E+18</v>
      </c>
      <c r="AP49">
        <f t="shared" si="20"/>
        <v>128749826452916.61</v>
      </c>
      <c r="AQ49">
        <f t="shared" si="21"/>
        <v>-7.4557432005651968E+18</v>
      </c>
      <c r="AS49" s="42">
        <v>2863022811184359</v>
      </c>
      <c r="AU49" s="42">
        <v>2727394.2455968857</v>
      </c>
    </row>
    <row r="50" spans="2:49">
      <c r="B50">
        <v>477500</v>
      </c>
      <c r="C50">
        <v>1</v>
      </c>
      <c r="D50">
        <v>8400</v>
      </c>
      <c r="E50">
        <v>3529</v>
      </c>
      <c r="F50">
        <f t="shared" si="8"/>
        <v>12453841</v>
      </c>
      <c r="G50">
        <v>7</v>
      </c>
      <c r="H50">
        <f t="shared" si="22"/>
        <v>4734725181.9544373</v>
      </c>
      <c r="I50">
        <f t="shared" si="9"/>
        <v>33839061573.682972</v>
      </c>
      <c r="Z50">
        <f t="shared" si="23"/>
        <v>4734725181.9544373</v>
      </c>
      <c r="AA50">
        <f t="shared" si="24"/>
        <v>1</v>
      </c>
      <c r="AB50">
        <f t="shared" si="25"/>
        <v>8400</v>
      </c>
      <c r="AC50">
        <f t="shared" si="26"/>
        <v>3529</v>
      </c>
      <c r="AD50">
        <f t="shared" si="10"/>
        <v>12453841</v>
      </c>
      <c r="AE50">
        <f t="shared" si="27"/>
        <v>7</v>
      </c>
      <c r="AF50">
        <f t="shared" si="11"/>
        <v>70560000</v>
      </c>
      <c r="AG50">
        <f t="shared" si="12"/>
        <v>155098155653281</v>
      </c>
      <c r="AH50">
        <f t="shared" si="13"/>
        <v>49</v>
      </c>
      <c r="AI50">
        <f t="shared" si="14"/>
        <v>29643600</v>
      </c>
      <c r="AJ50">
        <f t="shared" si="15"/>
        <v>104612264400</v>
      </c>
      <c r="AK50">
        <f t="shared" si="16"/>
        <v>58800</v>
      </c>
      <c r="AL50">
        <f t="shared" si="17"/>
        <v>43949604889</v>
      </c>
      <c r="AM50">
        <f t="shared" si="18"/>
        <v>24703</v>
      </c>
      <c r="AN50">
        <f t="shared" si="19"/>
        <v>87176887</v>
      </c>
      <c r="AO50">
        <f t="shared" si="28"/>
        <v>3.0202064207610803E+18</v>
      </c>
      <c r="AP50">
        <f t="shared" si="20"/>
        <v>2.141186266540801E+18</v>
      </c>
      <c r="AQ50">
        <f t="shared" si="21"/>
        <v>-8.790201542202793E+17</v>
      </c>
      <c r="AS50" s="42">
        <v>7.897354181128108E+18</v>
      </c>
      <c r="AU50" s="42">
        <v>-648.05416538077407</v>
      </c>
    </row>
    <row r="51" spans="2:49">
      <c r="B51">
        <v>350000</v>
      </c>
      <c r="C51">
        <v>1</v>
      </c>
      <c r="D51">
        <v>9773</v>
      </c>
      <c r="E51">
        <v>2051</v>
      </c>
      <c r="F51">
        <f t="shared" si="8"/>
        <v>4206601</v>
      </c>
      <c r="G51">
        <v>4</v>
      </c>
      <c r="H51">
        <f t="shared" si="22"/>
        <v>2961854028.4015222</v>
      </c>
      <c r="I51">
        <f t="shared" si="9"/>
        <v>3187050266.8647957</v>
      </c>
      <c r="Z51">
        <f t="shared" si="23"/>
        <v>2961854028.4015222</v>
      </c>
      <c r="AA51">
        <f t="shared" si="24"/>
        <v>1</v>
      </c>
      <c r="AB51">
        <f t="shared" si="25"/>
        <v>9773</v>
      </c>
      <c r="AC51">
        <f t="shared" si="26"/>
        <v>2051</v>
      </c>
      <c r="AD51">
        <f t="shared" si="10"/>
        <v>4206601</v>
      </c>
      <c r="AE51">
        <f t="shared" si="27"/>
        <v>4</v>
      </c>
      <c r="AF51">
        <f t="shared" si="11"/>
        <v>95511529</v>
      </c>
      <c r="AG51">
        <f t="shared" si="12"/>
        <v>17695491973201</v>
      </c>
      <c r="AH51">
        <f t="shared" si="13"/>
        <v>16</v>
      </c>
      <c r="AI51">
        <f t="shared" si="14"/>
        <v>20044423</v>
      </c>
      <c r="AJ51">
        <f t="shared" si="15"/>
        <v>41111111573</v>
      </c>
      <c r="AK51">
        <f t="shared" si="16"/>
        <v>39092</v>
      </c>
      <c r="AL51">
        <f t="shared" si="17"/>
        <v>8627738651</v>
      </c>
      <c r="AM51">
        <f t="shared" si="18"/>
        <v>8204</v>
      </c>
      <c r="AN51">
        <f t="shared" si="19"/>
        <v>16826404</v>
      </c>
      <c r="AO51">
        <f t="shared" si="28"/>
        <v>7.8680427830176368E+16</v>
      </c>
      <c r="AP51">
        <f t="shared" si="20"/>
        <v>9.5847124940647904E+16</v>
      </c>
      <c r="AQ51">
        <f t="shared" si="21"/>
        <v>1.7166697110471536E+16</v>
      </c>
    </row>
    <row r="52" spans="2:49">
      <c r="B52">
        <v>230000</v>
      </c>
      <c r="C52">
        <v>1</v>
      </c>
      <c r="D52">
        <v>4806</v>
      </c>
      <c r="E52">
        <v>1573</v>
      </c>
      <c r="F52">
        <f t="shared" si="8"/>
        <v>2474329</v>
      </c>
      <c r="G52">
        <v>4</v>
      </c>
      <c r="H52">
        <f t="shared" si="22"/>
        <v>157437618.29564509</v>
      </c>
      <c r="I52">
        <f t="shared" si="9"/>
        <v>4038098448.6829839</v>
      </c>
      <c r="Z52">
        <f t="shared" si="23"/>
        <v>157437618.29564509</v>
      </c>
      <c r="AA52">
        <f t="shared" si="24"/>
        <v>1</v>
      </c>
      <c r="AB52">
        <f t="shared" si="25"/>
        <v>4806</v>
      </c>
      <c r="AC52">
        <f t="shared" si="26"/>
        <v>1573</v>
      </c>
      <c r="AD52">
        <f t="shared" si="10"/>
        <v>2474329</v>
      </c>
      <c r="AE52">
        <f t="shared" si="27"/>
        <v>4</v>
      </c>
      <c r="AF52">
        <f t="shared" si="11"/>
        <v>23097636</v>
      </c>
      <c r="AG52">
        <f t="shared" si="12"/>
        <v>6122304000241</v>
      </c>
      <c r="AH52">
        <f t="shared" si="13"/>
        <v>16</v>
      </c>
      <c r="AI52">
        <f t="shared" si="14"/>
        <v>7559838</v>
      </c>
      <c r="AJ52">
        <f t="shared" si="15"/>
        <v>11891625174</v>
      </c>
      <c r="AK52">
        <f t="shared" si="16"/>
        <v>19224</v>
      </c>
      <c r="AL52">
        <f t="shared" si="17"/>
        <v>3892119517</v>
      </c>
      <c r="AM52">
        <f t="shared" si="18"/>
        <v>6292</v>
      </c>
      <c r="AN52">
        <f t="shared" si="19"/>
        <v>9897316</v>
      </c>
      <c r="AO52">
        <f t="shared" si="28"/>
        <v>1.4594086074221738E+19</v>
      </c>
      <c r="AP52">
        <f t="shared" si="20"/>
        <v>9.6970475582133207E+18</v>
      </c>
      <c r="AQ52">
        <f t="shared" si="21"/>
        <v>-4.8970385160084173E+18</v>
      </c>
    </row>
    <row r="53" spans="2:49">
      <c r="B53">
        <v>251000</v>
      </c>
      <c r="C53">
        <v>1</v>
      </c>
      <c r="D53">
        <v>5763</v>
      </c>
      <c r="E53">
        <v>1630</v>
      </c>
      <c r="F53">
        <f t="shared" si="8"/>
        <v>2656900</v>
      </c>
      <c r="G53">
        <v>3</v>
      </c>
      <c r="H53">
        <f t="shared" si="22"/>
        <v>237771508.47595096</v>
      </c>
      <c r="I53">
        <f t="shared" si="9"/>
        <v>1810165016.8648007</v>
      </c>
      <c r="Z53">
        <f t="shared" si="23"/>
        <v>237771508.47595096</v>
      </c>
      <c r="AA53">
        <f t="shared" si="24"/>
        <v>1</v>
      </c>
      <c r="AB53">
        <f t="shared" si="25"/>
        <v>5763</v>
      </c>
      <c r="AC53">
        <f t="shared" si="26"/>
        <v>1630</v>
      </c>
      <c r="AD53">
        <f t="shared" si="10"/>
        <v>2656900</v>
      </c>
      <c r="AE53">
        <f t="shared" si="27"/>
        <v>3</v>
      </c>
      <c r="AF53">
        <f t="shared" si="11"/>
        <v>33212169</v>
      </c>
      <c r="AG53">
        <f t="shared" si="12"/>
        <v>7059117610000</v>
      </c>
      <c r="AH53">
        <f t="shared" si="13"/>
        <v>9</v>
      </c>
      <c r="AI53">
        <f t="shared" si="14"/>
        <v>9393690</v>
      </c>
      <c r="AJ53">
        <f t="shared" si="15"/>
        <v>15311714700</v>
      </c>
      <c r="AK53">
        <f t="shared" si="16"/>
        <v>17289</v>
      </c>
      <c r="AL53">
        <f t="shared" si="17"/>
        <v>4330747000</v>
      </c>
      <c r="AM53">
        <f t="shared" si="18"/>
        <v>4890</v>
      </c>
      <c r="AN53">
        <f t="shared" si="19"/>
        <v>7970700</v>
      </c>
      <c r="AO53">
        <f t="shared" si="28"/>
        <v>9.6101832808250225E+18</v>
      </c>
      <c r="AP53">
        <f t="shared" si="20"/>
        <v>9.2031802940027689E+18</v>
      </c>
      <c r="AQ53">
        <f t="shared" si="21"/>
        <v>-4.0700298682225357E+17</v>
      </c>
    </row>
    <row r="54" spans="2:49">
      <c r="B54">
        <v>235000</v>
      </c>
      <c r="C54">
        <v>1</v>
      </c>
      <c r="D54">
        <v>6383</v>
      </c>
      <c r="E54">
        <v>1840</v>
      </c>
      <c r="F54">
        <f t="shared" si="8"/>
        <v>3385600</v>
      </c>
      <c r="G54">
        <v>4</v>
      </c>
      <c r="H54">
        <f t="shared" si="22"/>
        <v>1108621134.8152015</v>
      </c>
      <c r="I54">
        <f t="shared" si="9"/>
        <v>3427638107.7738924</v>
      </c>
      <c r="Z54">
        <f t="shared" si="23"/>
        <v>1108621134.8152015</v>
      </c>
      <c r="AA54">
        <f t="shared" si="24"/>
        <v>1</v>
      </c>
      <c r="AB54">
        <f t="shared" si="25"/>
        <v>6383</v>
      </c>
      <c r="AC54">
        <f t="shared" si="26"/>
        <v>1840</v>
      </c>
      <c r="AD54">
        <f t="shared" si="10"/>
        <v>3385600</v>
      </c>
      <c r="AE54">
        <f t="shared" si="27"/>
        <v>4</v>
      </c>
      <c r="AF54">
        <f t="shared" si="11"/>
        <v>40742689</v>
      </c>
      <c r="AG54">
        <f t="shared" si="12"/>
        <v>11462287360000</v>
      </c>
      <c r="AH54">
        <f t="shared" si="13"/>
        <v>16</v>
      </c>
      <c r="AI54">
        <f t="shared" si="14"/>
        <v>11744720</v>
      </c>
      <c r="AJ54">
        <f t="shared" si="15"/>
        <v>21610284800</v>
      </c>
      <c r="AK54">
        <f t="shared" si="16"/>
        <v>25532</v>
      </c>
      <c r="AL54">
        <f t="shared" si="17"/>
        <v>6229504000</v>
      </c>
      <c r="AM54">
        <f t="shared" si="18"/>
        <v>7360</v>
      </c>
      <c r="AN54">
        <f t="shared" si="19"/>
        <v>13542400</v>
      </c>
      <c r="AO54">
        <f t="shared" si="28"/>
        <v>1.7944152198355689E+18</v>
      </c>
      <c r="AP54">
        <f t="shared" si="20"/>
        <v>4.6778109507904389E+18</v>
      </c>
      <c r="AQ54">
        <f t="shared" si="21"/>
        <v>2.8833957309548698E+18</v>
      </c>
    </row>
    <row r="55" spans="2:49">
      <c r="B55">
        <v>361000</v>
      </c>
      <c r="C55">
        <v>1</v>
      </c>
      <c r="D55">
        <v>9000</v>
      </c>
      <c r="E55">
        <v>2066</v>
      </c>
      <c r="F55">
        <f t="shared" si="8"/>
        <v>4268356</v>
      </c>
      <c r="G55">
        <v>4</v>
      </c>
      <c r="H55">
        <f t="shared" si="22"/>
        <v>4272176425.0562677</v>
      </c>
      <c r="I55">
        <f t="shared" si="9"/>
        <v>4550037516.8647947</v>
      </c>
      <c r="Z55">
        <f t="shared" si="23"/>
        <v>4272176425.0562677</v>
      </c>
      <c r="AA55">
        <f t="shared" si="24"/>
        <v>1</v>
      </c>
      <c r="AB55">
        <f t="shared" si="25"/>
        <v>9000</v>
      </c>
      <c r="AC55">
        <f t="shared" si="26"/>
        <v>2066</v>
      </c>
      <c r="AD55">
        <f t="shared" si="10"/>
        <v>4268356</v>
      </c>
      <c r="AE55">
        <f t="shared" si="27"/>
        <v>4</v>
      </c>
      <c r="AF55">
        <f t="shared" si="11"/>
        <v>81000000</v>
      </c>
      <c r="AG55">
        <f t="shared" si="12"/>
        <v>18218862942736</v>
      </c>
      <c r="AH55">
        <f t="shared" si="13"/>
        <v>16</v>
      </c>
      <c r="AI55">
        <f t="shared" si="14"/>
        <v>18594000</v>
      </c>
      <c r="AJ55">
        <f t="shared" si="15"/>
        <v>38415204000</v>
      </c>
      <c r="AK55">
        <f t="shared" si="16"/>
        <v>36000</v>
      </c>
      <c r="AL55">
        <f t="shared" si="17"/>
        <v>8818423496</v>
      </c>
      <c r="AM55">
        <f t="shared" si="18"/>
        <v>8264</v>
      </c>
      <c r="AN55">
        <f t="shared" si="19"/>
        <v>17073424</v>
      </c>
      <c r="AO55">
        <f t="shared" si="28"/>
        <v>4.0875790040291185E+18</v>
      </c>
      <c r="AP55">
        <f t="shared" si="20"/>
        <v>1.0014615903062947E+18</v>
      </c>
      <c r="AQ55">
        <f t="shared" si="21"/>
        <v>-3.0861174137228237E+18</v>
      </c>
    </row>
    <row r="56" spans="2:49">
      <c r="B56">
        <v>360000</v>
      </c>
      <c r="C56">
        <v>1</v>
      </c>
      <c r="D56">
        <v>10892</v>
      </c>
      <c r="E56">
        <v>2750</v>
      </c>
      <c r="F56">
        <f t="shared" si="8"/>
        <v>7562500</v>
      </c>
      <c r="G56">
        <v>4</v>
      </c>
      <c r="H56">
        <f t="shared" si="22"/>
        <v>563406716.3162117</v>
      </c>
      <c r="I56">
        <f t="shared" si="9"/>
        <v>4416129585.0466137</v>
      </c>
      <c r="Z56">
        <f t="shared" si="23"/>
        <v>563406716.3162117</v>
      </c>
      <c r="AA56">
        <f t="shared" si="24"/>
        <v>1</v>
      </c>
      <c r="AB56">
        <f t="shared" si="25"/>
        <v>10892</v>
      </c>
      <c r="AC56">
        <f t="shared" si="26"/>
        <v>2750</v>
      </c>
      <c r="AD56">
        <f t="shared" si="10"/>
        <v>7562500</v>
      </c>
      <c r="AE56">
        <f t="shared" si="27"/>
        <v>4</v>
      </c>
      <c r="AF56">
        <f t="shared" si="11"/>
        <v>118635664</v>
      </c>
      <c r="AG56">
        <f t="shared" si="12"/>
        <v>57191406250000</v>
      </c>
      <c r="AH56">
        <f t="shared" si="13"/>
        <v>16</v>
      </c>
      <c r="AI56">
        <f t="shared" si="14"/>
        <v>29953000</v>
      </c>
      <c r="AJ56">
        <f t="shared" si="15"/>
        <v>82370750000</v>
      </c>
      <c r="AK56">
        <f t="shared" si="16"/>
        <v>43568</v>
      </c>
      <c r="AL56">
        <f t="shared" si="17"/>
        <v>20796875000</v>
      </c>
      <c r="AM56">
        <f t="shared" si="18"/>
        <v>11000</v>
      </c>
      <c r="AN56">
        <f t="shared" si="19"/>
        <v>30250000</v>
      </c>
      <c r="AO56">
        <f t="shared" si="28"/>
        <v>3.1102115135329759E+19</v>
      </c>
      <c r="AP56">
        <f t="shared" si="20"/>
        <v>7.3334762027045571E+18</v>
      </c>
      <c r="AQ56">
        <f t="shared" si="21"/>
        <v>-2.3768638932625203E+19</v>
      </c>
    </row>
    <row r="57" spans="2:49">
      <c r="B57">
        <v>575000</v>
      </c>
      <c r="C57">
        <v>1</v>
      </c>
      <c r="D57">
        <v>15634</v>
      </c>
      <c r="E57">
        <v>3880</v>
      </c>
      <c r="F57">
        <f t="shared" si="8"/>
        <v>15054400</v>
      </c>
      <c r="G57">
        <v>5</v>
      </c>
      <c r="H57">
        <f t="shared" si="22"/>
        <v>727050187.12205076</v>
      </c>
      <c r="I57">
        <f t="shared" si="9"/>
        <v>79216334925.955688</v>
      </c>
      <c r="Z57">
        <f t="shared" si="23"/>
        <v>727050187.12205076</v>
      </c>
      <c r="AA57">
        <f t="shared" si="24"/>
        <v>1</v>
      </c>
      <c r="AB57">
        <f t="shared" si="25"/>
        <v>15634</v>
      </c>
      <c r="AC57">
        <f t="shared" si="26"/>
        <v>3880</v>
      </c>
      <c r="AD57">
        <f t="shared" si="10"/>
        <v>15054400</v>
      </c>
      <c r="AE57">
        <f t="shared" si="27"/>
        <v>5</v>
      </c>
      <c r="AF57">
        <f t="shared" si="11"/>
        <v>244421956</v>
      </c>
      <c r="AG57">
        <f t="shared" si="12"/>
        <v>226634959360000</v>
      </c>
      <c r="AH57">
        <f t="shared" si="13"/>
        <v>25</v>
      </c>
      <c r="AI57">
        <f t="shared" si="14"/>
        <v>60659920</v>
      </c>
      <c r="AJ57">
        <f t="shared" si="15"/>
        <v>235360489600</v>
      </c>
      <c r="AK57">
        <f t="shared" si="16"/>
        <v>78170</v>
      </c>
      <c r="AL57">
        <f t="shared" si="17"/>
        <v>58411072000</v>
      </c>
      <c r="AM57">
        <f t="shared" si="18"/>
        <v>19400</v>
      </c>
      <c r="AN57">
        <f t="shared" si="19"/>
        <v>75272000</v>
      </c>
      <c r="AO57">
        <f t="shared" si="28"/>
        <v>1.321825946599493E+19</v>
      </c>
      <c r="AP57">
        <f t="shared" si="20"/>
        <v>6.4739495271167908E+18</v>
      </c>
      <c r="AQ57">
        <f t="shared" si="21"/>
        <v>-6.7443099388781394E+18</v>
      </c>
    </row>
    <row r="58" spans="2:49">
      <c r="B58">
        <v>209001</v>
      </c>
      <c r="C58">
        <v>1</v>
      </c>
      <c r="D58">
        <v>6400</v>
      </c>
      <c r="E58">
        <v>1854</v>
      </c>
      <c r="F58">
        <f t="shared" si="8"/>
        <v>3437316</v>
      </c>
      <c r="G58">
        <v>4</v>
      </c>
      <c r="H58">
        <f t="shared" si="22"/>
        <v>3675418159.6794677</v>
      </c>
      <c r="I58">
        <f t="shared" si="9"/>
        <v>7147862789.4329853</v>
      </c>
      <c r="Z58">
        <f t="shared" si="23"/>
        <v>3675418159.6794677</v>
      </c>
      <c r="AA58">
        <f t="shared" si="24"/>
        <v>1</v>
      </c>
      <c r="AB58">
        <f t="shared" si="25"/>
        <v>6400</v>
      </c>
      <c r="AC58">
        <f t="shared" si="26"/>
        <v>1854</v>
      </c>
      <c r="AD58">
        <f t="shared" si="10"/>
        <v>3437316</v>
      </c>
      <c r="AE58">
        <f t="shared" si="27"/>
        <v>4</v>
      </c>
      <c r="AF58">
        <f t="shared" si="11"/>
        <v>40960000</v>
      </c>
      <c r="AG58">
        <f t="shared" si="12"/>
        <v>11815141283856</v>
      </c>
      <c r="AH58">
        <f t="shared" si="13"/>
        <v>16</v>
      </c>
      <c r="AI58">
        <f t="shared" si="14"/>
        <v>11865600</v>
      </c>
      <c r="AJ58">
        <f t="shared" si="15"/>
        <v>21998822400</v>
      </c>
      <c r="AK58">
        <f t="shared" si="16"/>
        <v>25600</v>
      </c>
      <c r="AL58">
        <f t="shared" si="17"/>
        <v>6372783864</v>
      </c>
      <c r="AM58">
        <f t="shared" si="18"/>
        <v>7416</v>
      </c>
      <c r="AN58">
        <f t="shared" si="19"/>
        <v>13749264</v>
      </c>
      <c r="AO58">
        <f t="shared" si="28"/>
        <v>1.7575194982922327E+18</v>
      </c>
      <c r="AP58">
        <f t="shared" si="20"/>
        <v>1.6319358922529757E+17</v>
      </c>
      <c r="AQ58">
        <f t="shared" si="21"/>
        <v>-1.594325909066935E+18</v>
      </c>
    </row>
    <row r="59" spans="2:49">
      <c r="B59">
        <v>246000</v>
      </c>
      <c r="C59">
        <v>1</v>
      </c>
      <c r="D59">
        <v>6314</v>
      </c>
      <c r="E59">
        <v>1662</v>
      </c>
      <c r="F59">
        <f t="shared" si="8"/>
        <v>2762244</v>
      </c>
      <c r="G59">
        <v>3</v>
      </c>
      <c r="H59">
        <f t="shared" si="22"/>
        <v>45377318.183353372</v>
      </c>
      <c r="I59">
        <f t="shared" si="9"/>
        <v>2260625357.7738919</v>
      </c>
      <c r="Z59">
        <f t="shared" si="23"/>
        <v>45377318.183353372</v>
      </c>
      <c r="AA59">
        <f t="shared" si="24"/>
        <v>1</v>
      </c>
      <c r="AB59">
        <f t="shared" si="25"/>
        <v>6314</v>
      </c>
      <c r="AC59">
        <f t="shared" si="26"/>
        <v>1662</v>
      </c>
      <c r="AD59">
        <f t="shared" si="10"/>
        <v>2762244</v>
      </c>
      <c r="AE59">
        <f t="shared" si="27"/>
        <v>3</v>
      </c>
      <c r="AF59">
        <f t="shared" si="11"/>
        <v>39866596</v>
      </c>
      <c r="AG59">
        <f t="shared" si="12"/>
        <v>7629991915536</v>
      </c>
      <c r="AH59">
        <f t="shared" si="13"/>
        <v>9</v>
      </c>
      <c r="AI59">
        <f t="shared" si="14"/>
        <v>10493868</v>
      </c>
      <c r="AJ59">
        <f t="shared" si="15"/>
        <v>17440808616</v>
      </c>
      <c r="AK59">
        <f t="shared" si="16"/>
        <v>18942</v>
      </c>
      <c r="AL59">
        <f t="shared" si="17"/>
        <v>4590849528</v>
      </c>
      <c r="AM59">
        <f t="shared" si="18"/>
        <v>4986</v>
      </c>
      <c r="AN59">
        <f t="shared" si="19"/>
        <v>8286732</v>
      </c>
      <c r="AO59">
        <f t="shared" si="28"/>
        <v>9.2047792417717002E+18</v>
      </c>
      <c r="AP59">
        <f t="shared" si="20"/>
        <v>1.0407518473543608E+19</v>
      </c>
      <c r="AQ59">
        <f t="shared" si="21"/>
        <v>1.2027392317719081E+18</v>
      </c>
    </row>
    <row r="60" spans="2:49">
      <c r="B60">
        <v>713500</v>
      </c>
      <c r="C60">
        <v>1</v>
      </c>
      <c r="D60">
        <v>28231</v>
      </c>
      <c r="E60">
        <v>3331</v>
      </c>
      <c r="F60">
        <f t="shared" si="8"/>
        <v>11095561</v>
      </c>
      <c r="G60">
        <v>5</v>
      </c>
      <c r="H60">
        <f t="shared" si="22"/>
        <v>36425337091.937599</v>
      </c>
      <c r="I60">
        <f t="shared" si="9"/>
        <v>176361333482.77386</v>
      </c>
      <c r="Z60">
        <f t="shared" si="23"/>
        <v>36425337091.937599</v>
      </c>
      <c r="AA60">
        <f t="shared" si="24"/>
        <v>1</v>
      </c>
      <c r="AB60">
        <f t="shared" si="25"/>
        <v>28231</v>
      </c>
      <c r="AC60">
        <f t="shared" si="26"/>
        <v>3331</v>
      </c>
      <c r="AD60">
        <f t="shared" si="10"/>
        <v>11095561</v>
      </c>
      <c r="AE60">
        <f t="shared" si="27"/>
        <v>5</v>
      </c>
      <c r="AF60">
        <f t="shared" si="11"/>
        <v>796989361</v>
      </c>
      <c r="AG60">
        <f t="shared" si="12"/>
        <v>123111473904721</v>
      </c>
      <c r="AH60">
        <f t="shared" si="13"/>
        <v>25</v>
      </c>
      <c r="AI60">
        <f t="shared" si="14"/>
        <v>94037461</v>
      </c>
      <c r="AJ60">
        <f t="shared" si="15"/>
        <v>313238782591</v>
      </c>
      <c r="AK60">
        <f t="shared" si="16"/>
        <v>141155</v>
      </c>
      <c r="AL60">
        <f t="shared" si="17"/>
        <v>36959313691</v>
      </c>
      <c r="AM60">
        <f t="shared" si="18"/>
        <v>16655</v>
      </c>
      <c r="AN60">
        <f t="shared" si="19"/>
        <v>55477805</v>
      </c>
      <c r="AO60">
        <f t="shared" si="28"/>
        <v>1.0811253754430998E+20</v>
      </c>
      <c r="AP60">
        <f t="shared" si="20"/>
        <v>1.0991805013830718E+21</v>
      </c>
      <c r="AQ60">
        <f t="shared" si="21"/>
        <v>9.910679638387618E+20</v>
      </c>
      <c r="AS60" s="50"/>
      <c r="AT60" s="50"/>
      <c r="AU60" s="50"/>
      <c r="AV60" s="50"/>
    </row>
    <row r="61" spans="2:49">
      <c r="B61">
        <v>248000</v>
      </c>
      <c r="C61">
        <v>1</v>
      </c>
      <c r="D61">
        <v>7050</v>
      </c>
      <c r="E61">
        <v>1656</v>
      </c>
      <c r="F61">
        <f t="shared" si="8"/>
        <v>2742336</v>
      </c>
      <c r="G61">
        <v>4</v>
      </c>
      <c r="H61">
        <f t="shared" si="22"/>
        <v>30718983.695385952</v>
      </c>
      <c r="I61">
        <f t="shared" si="9"/>
        <v>2074441221.4102554</v>
      </c>
      <c r="Z61">
        <f t="shared" si="23"/>
        <v>30718983.695385952</v>
      </c>
      <c r="AA61">
        <f t="shared" si="24"/>
        <v>1</v>
      </c>
      <c r="AB61">
        <f t="shared" si="25"/>
        <v>7050</v>
      </c>
      <c r="AC61">
        <f t="shared" si="26"/>
        <v>1656</v>
      </c>
      <c r="AD61">
        <f t="shared" si="10"/>
        <v>2742336</v>
      </c>
      <c r="AE61">
        <f t="shared" si="27"/>
        <v>4</v>
      </c>
      <c r="AF61">
        <f t="shared" si="11"/>
        <v>49702500</v>
      </c>
      <c r="AG61">
        <f t="shared" si="12"/>
        <v>7520406736896</v>
      </c>
      <c r="AH61">
        <f t="shared" si="13"/>
        <v>16</v>
      </c>
      <c r="AI61">
        <f t="shared" si="14"/>
        <v>11674800</v>
      </c>
      <c r="AJ61">
        <f t="shared" si="15"/>
        <v>19333468800</v>
      </c>
      <c r="AK61">
        <f t="shared" si="16"/>
        <v>28200</v>
      </c>
      <c r="AL61">
        <f t="shared" si="17"/>
        <v>4541308416</v>
      </c>
      <c r="AM61">
        <f t="shared" si="18"/>
        <v>6624</v>
      </c>
      <c r="AN61">
        <f t="shared" si="19"/>
        <v>10969344</v>
      </c>
      <c r="AO61">
        <f t="shared" si="28"/>
        <v>1.4768914636244431E+19</v>
      </c>
      <c r="AP61">
        <f t="shared" si="20"/>
        <v>1.050231092492475E+19</v>
      </c>
      <c r="AQ61">
        <f t="shared" si="21"/>
        <v>-4.266603711319681E+18</v>
      </c>
      <c r="AR61" s="50"/>
      <c r="AS61" s="50"/>
      <c r="AT61" s="50"/>
      <c r="AU61" s="50"/>
      <c r="AV61" s="50"/>
      <c r="AW61" s="50"/>
    </row>
    <row r="62" spans="2:49">
      <c r="B62">
        <v>375000</v>
      </c>
      <c r="C62">
        <v>1</v>
      </c>
      <c r="D62">
        <v>6637</v>
      </c>
      <c r="E62">
        <v>2293</v>
      </c>
      <c r="F62">
        <f t="shared" si="8"/>
        <v>5257849</v>
      </c>
      <c r="G62">
        <v>5</v>
      </c>
      <c r="H62">
        <f t="shared" si="22"/>
        <v>2064944367.6424739</v>
      </c>
      <c r="I62">
        <f t="shared" si="9"/>
        <v>6634748562.3193398</v>
      </c>
      <c r="Z62">
        <f t="shared" si="23"/>
        <v>2064944367.6424739</v>
      </c>
      <c r="AA62">
        <f t="shared" si="24"/>
        <v>1</v>
      </c>
      <c r="AB62">
        <f t="shared" si="25"/>
        <v>6637</v>
      </c>
      <c r="AC62">
        <f t="shared" si="26"/>
        <v>2293</v>
      </c>
      <c r="AD62">
        <f t="shared" si="10"/>
        <v>5257849</v>
      </c>
      <c r="AE62">
        <f t="shared" si="27"/>
        <v>5</v>
      </c>
      <c r="AF62">
        <f t="shared" si="11"/>
        <v>44049769</v>
      </c>
      <c r="AG62">
        <f t="shared" si="12"/>
        <v>27644976106801</v>
      </c>
      <c r="AH62">
        <f t="shared" si="13"/>
        <v>25</v>
      </c>
      <c r="AI62">
        <f t="shared" si="14"/>
        <v>15218641</v>
      </c>
      <c r="AJ62">
        <f t="shared" si="15"/>
        <v>34896343813</v>
      </c>
      <c r="AK62">
        <f t="shared" si="16"/>
        <v>33185</v>
      </c>
      <c r="AL62">
        <f t="shared" si="17"/>
        <v>12056247757</v>
      </c>
      <c r="AM62">
        <f t="shared" si="18"/>
        <v>11465</v>
      </c>
      <c r="AN62">
        <f t="shared" si="19"/>
        <v>26289245</v>
      </c>
      <c r="AO62">
        <f t="shared" si="28"/>
        <v>2.4496631529803023E+18</v>
      </c>
      <c r="AP62">
        <f t="shared" si="20"/>
        <v>1.4556459397120906E+18</v>
      </c>
      <c r="AQ62">
        <f t="shared" si="21"/>
        <v>-9.9401721326821171E+17</v>
      </c>
      <c r="AR62" s="50"/>
      <c r="AS62" s="50"/>
      <c r="AT62" s="50"/>
      <c r="AU62" s="50"/>
      <c r="AV62" s="50"/>
      <c r="AW62" s="50"/>
    </row>
    <row r="63" spans="2:49">
      <c r="B63">
        <v>265000</v>
      </c>
      <c r="C63">
        <v>1</v>
      </c>
      <c r="D63">
        <v>7834</v>
      </c>
      <c r="E63">
        <v>1764</v>
      </c>
      <c r="F63">
        <f t="shared" si="8"/>
        <v>3111696</v>
      </c>
      <c r="G63">
        <v>3</v>
      </c>
      <c r="H63">
        <f t="shared" si="22"/>
        <v>198233945.81822309</v>
      </c>
      <c r="I63">
        <f t="shared" si="9"/>
        <v>814876062.31934547</v>
      </c>
      <c r="Z63">
        <f t="shared" si="23"/>
        <v>198233945.81822309</v>
      </c>
      <c r="AA63">
        <f t="shared" si="24"/>
        <v>1</v>
      </c>
      <c r="AB63">
        <f t="shared" si="25"/>
        <v>7834</v>
      </c>
      <c r="AC63">
        <f t="shared" si="26"/>
        <v>1764</v>
      </c>
      <c r="AD63">
        <f t="shared" si="10"/>
        <v>3111696</v>
      </c>
      <c r="AE63">
        <f t="shared" si="27"/>
        <v>3</v>
      </c>
      <c r="AF63">
        <f t="shared" si="11"/>
        <v>61371556</v>
      </c>
      <c r="AG63">
        <f t="shared" si="12"/>
        <v>9682651996416</v>
      </c>
      <c r="AH63">
        <f t="shared" si="13"/>
        <v>9</v>
      </c>
      <c r="AI63">
        <f t="shared" si="14"/>
        <v>13819176</v>
      </c>
      <c r="AJ63">
        <f t="shared" si="15"/>
        <v>24377026464</v>
      </c>
      <c r="AK63">
        <f t="shared" si="16"/>
        <v>23502</v>
      </c>
      <c r="AL63">
        <f t="shared" si="17"/>
        <v>5489031744</v>
      </c>
      <c r="AM63">
        <f t="shared" si="18"/>
        <v>5292</v>
      </c>
      <c r="AN63">
        <f t="shared" si="19"/>
        <v>9335088</v>
      </c>
      <c r="AO63">
        <f t="shared" si="28"/>
        <v>4.6739891343161416E+18</v>
      </c>
      <c r="AP63">
        <f t="shared" si="20"/>
        <v>9.4446316952818688E+18</v>
      </c>
      <c r="AQ63">
        <f t="shared" si="21"/>
        <v>4.7706425609657272E+18</v>
      </c>
      <c r="AR63" s="64"/>
      <c r="AS63" s="50"/>
      <c r="AT63" s="50"/>
      <c r="AU63" s="50"/>
      <c r="AV63" s="50"/>
      <c r="AW63" s="50"/>
    </row>
    <row r="64" spans="2:49">
      <c r="B64">
        <v>253000</v>
      </c>
      <c r="C64">
        <v>1</v>
      </c>
      <c r="D64">
        <v>5850</v>
      </c>
      <c r="E64">
        <v>1536</v>
      </c>
      <c r="F64">
        <f t="shared" si="8"/>
        <v>2359296</v>
      </c>
      <c r="G64">
        <v>3</v>
      </c>
      <c r="H64">
        <f t="shared" si="22"/>
        <v>605149046.44856012</v>
      </c>
      <c r="I64">
        <f t="shared" si="9"/>
        <v>1643980880.5011644</v>
      </c>
      <c r="Z64">
        <f t="shared" si="23"/>
        <v>605149046.44856012</v>
      </c>
      <c r="AA64">
        <f t="shared" si="24"/>
        <v>1</v>
      </c>
      <c r="AB64">
        <f t="shared" si="25"/>
        <v>5850</v>
      </c>
      <c r="AC64">
        <f t="shared" si="26"/>
        <v>1536</v>
      </c>
      <c r="AD64">
        <f t="shared" si="10"/>
        <v>2359296</v>
      </c>
      <c r="AE64">
        <f t="shared" si="27"/>
        <v>3</v>
      </c>
      <c r="AF64">
        <f t="shared" si="11"/>
        <v>34222500</v>
      </c>
      <c r="AG64">
        <f t="shared" si="12"/>
        <v>5566277615616</v>
      </c>
      <c r="AH64">
        <f t="shared" si="13"/>
        <v>9</v>
      </c>
      <c r="AI64">
        <f t="shared" si="14"/>
        <v>8985600</v>
      </c>
      <c r="AJ64">
        <f t="shared" si="15"/>
        <v>13801881600</v>
      </c>
      <c r="AK64">
        <f t="shared" si="16"/>
        <v>17550</v>
      </c>
      <c r="AL64">
        <f t="shared" si="17"/>
        <v>3623878656</v>
      </c>
      <c r="AM64">
        <f t="shared" si="18"/>
        <v>4608</v>
      </c>
      <c r="AN64">
        <f t="shared" si="19"/>
        <v>7077888</v>
      </c>
      <c r="AO64">
        <f t="shared" si="28"/>
        <v>1.049030723780361E+19</v>
      </c>
      <c r="AP64">
        <f t="shared" si="20"/>
        <v>7.1091388938683556E+18</v>
      </c>
      <c r="AQ64">
        <f t="shared" si="21"/>
        <v>-3.3811683439352545E+18</v>
      </c>
      <c r="AR64" s="50"/>
      <c r="AS64" s="50"/>
      <c r="AT64" s="50"/>
      <c r="AU64" s="50"/>
      <c r="AV64" s="50"/>
      <c r="AW64" s="50"/>
    </row>
    <row r="65" spans="2:49">
      <c r="B65">
        <v>315000</v>
      </c>
      <c r="C65">
        <v>1</v>
      </c>
      <c r="D65">
        <v>6660</v>
      </c>
      <c r="E65">
        <v>1638</v>
      </c>
      <c r="F65">
        <f t="shared" si="8"/>
        <v>2683044</v>
      </c>
      <c r="G65">
        <v>4</v>
      </c>
      <c r="H65">
        <f t="shared" si="22"/>
        <v>4055929147.2943897</v>
      </c>
      <c r="I65">
        <f t="shared" si="9"/>
        <v>460272653.22843379</v>
      </c>
      <c r="Z65">
        <f t="shared" si="23"/>
        <v>4055929147.2943897</v>
      </c>
      <c r="AA65">
        <f t="shared" si="24"/>
        <v>1</v>
      </c>
      <c r="AB65">
        <f t="shared" si="25"/>
        <v>6660</v>
      </c>
      <c r="AC65">
        <f t="shared" si="26"/>
        <v>1638</v>
      </c>
      <c r="AD65">
        <f t="shared" si="10"/>
        <v>2683044</v>
      </c>
      <c r="AE65">
        <f t="shared" si="27"/>
        <v>4</v>
      </c>
      <c r="AF65">
        <f t="shared" si="11"/>
        <v>44355600</v>
      </c>
      <c r="AG65">
        <f t="shared" si="12"/>
        <v>7198725105936</v>
      </c>
      <c r="AH65">
        <f t="shared" si="13"/>
        <v>16</v>
      </c>
      <c r="AI65">
        <f t="shared" si="14"/>
        <v>10909080</v>
      </c>
      <c r="AJ65">
        <f t="shared" si="15"/>
        <v>17869073040</v>
      </c>
      <c r="AK65">
        <f t="shared" si="16"/>
        <v>26640</v>
      </c>
      <c r="AL65">
        <f t="shared" si="17"/>
        <v>4394826072</v>
      </c>
      <c r="AM65">
        <f t="shared" si="18"/>
        <v>6552</v>
      </c>
      <c r="AN65">
        <f t="shared" si="19"/>
        <v>10732176</v>
      </c>
      <c r="AO65">
        <f t="shared" si="28"/>
        <v>2.4940372939439272E+16</v>
      </c>
      <c r="AP65">
        <f t="shared" si="20"/>
        <v>6.154139704020576E+17</v>
      </c>
      <c r="AQ65">
        <f t="shared" si="21"/>
        <v>5.9047359746261837E+17</v>
      </c>
      <c r="AR65" s="50"/>
      <c r="AS65" s="50"/>
      <c r="AT65" s="50"/>
      <c r="AU65" s="50"/>
      <c r="AV65" s="50"/>
      <c r="AW65" s="50"/>
    </row>
    <row r="66" spans="2:49">
      <c r="B66">
        <v>264000</v>
      </c>
      <c r="C66">
        <v>1</v>
      </c>
      <c r="D66">
        <v>6637</v>
      </c>
      <c r="E66">
        <v>1972</v>
      </c>
      <c r="F66">
        <f t="shared" si="8"/>
        <v>3888784</v>
      </c>
      <c r="G66">
        <v>3</v>
      </c>
      <c r="H66">
        <f t="shared" si="22"/>
        <v>16857139.596569881</v>
      </c>
      <c r="I66">
        <f t="shared" si="9"/>
        <v>872968130.50116372</v>
      </c>
      <c r="Z66">
        <f t="shared" si="23"/>
        <v>16857139.596569881</v>
      </c>
      <c r="AA66">
        <f t="shared" si="24"/>
        <v>1</v>
      </c>
      <c r="AB66">
        <f t="shared" si="25"/>
        <v>6637</v>
      </c>
      <c r="AC66">
        <f t="shared" si="26"/>
        <v>1972</v>
      </c>
      <c r="AD66">
        <f t="shared" si="10"/>
        <v>3888784</v>
      </c>
      <c r="AE66">
        <f t="shared" si="27"/>
        <v>3</v>
      </c>
      <c r="AF66">
        <f t="shared" si="11"/>
        <v>44049769</v>
      </c>
      <c r="AG66">
        <f t="shared" si="12"/>
        <v>15122640998656</v>
      </c>
      <c r="AH66">
        <f t="shared" si="13"/>
        <v>9</v>
      </c>
      <c r="AI66">
        <f t="shared" si="14"/>
        <v>13088164</v>
      </c>
      <c r="AJ66">
        <f t="shared" si="15"/>
        <v>25809859408</v>
      </c>
      <c r="AK66">
        <f t="shared" si="16"/>
        <v>19911</v>
      </c>
      <c r="AL66">
        <f t="shared" si="17"/>
        <v>7668682048</v>
      </c>
      <c r="AM66">
        <f t="shared" si="18"/>
        <v>5916</v>
      </c>
      <c r="AN66">
        <f t="shared" si="19"/>
        <v>11666352</v>
      </c>
      <c r="AO66">
        <f t="shared" si="28"/>
        <v>6.1504916407094067E+17</v>
      </c>
      <c r="AP66">
        <f t="shared" si="20"/>
        <v>1.0592347978117462E+19</v>
      </c>
      <c r="AQ66">
        <f t="shared" si="21"/>
        <v>9.9772988140465213E+18</v>
      </c>
      <c r="AR66" s="50"/>
      <c r="AS66" s="50"/>
      <c r="AT66" s="50"/>
      <c r="AU66" s="50"/>
      <c r="AV66" s="50"/>
      <c r="AW66" s="50"/>
    </row>
    <row r="67" spans="2:49">
      <c r="B67">
        <v>210000</v>
      </c>
      <c r="C67">
        <v>1</v>
      </c>
      <c r="D67">
        <v>5146</v>
      </c>
      <c r="E67">
        <v>1408</v>
      </c>
      <c r="F67">
        <f t="shared" si="8"/>
        <v>1982464</v>
      </c>
      <c r="G67">
        <v>3</v>
      </c>
      <c r="H67">
        <f t="shared" si="22"/>
        <v>60893190.651608549</v>
      </c>
      <c r="I67">
        <f t="shared" si="9"/>
        <v>6979939812.3193483</v>
      </c>
      <c r="Z67">
        <f t="shared" si="23"/>
        <v>60893190.651608549</v>
      </c>
      <c r="AA67">
        <f t="shared" si="24"/>
        <v>1</v>
      </c>
      <c r="AB67">
        <f t="shared" si="25"/>
        <v>5146</v>
      </c>
      <c r="AC67">
        <f t="shared" si="26"/>
        <v>1408</v>
      </c>
      <c r="AD67">
        <f t="shared" si="10"/>
        <v>1982464</v>
      </c>
      <c r="AE67">
        <f t="shared" si="27"/>
        <v>3</v>
      </c>
      <c r="AF67">
        <f t="shared" si="11"/>
        <v>26481316</v>
      </c>
      <c r="AG67">
        <f t="shared" si="12"/>
        <v>3930163511296</v>
      </c>
      <c r="AH67">
        <f t="shared" si="13"/>
        <v>9</v>
      </c>
      <c r="AI67">
        <f t="shared" si="14"/>
        <v>7245568</v>
      </c>
      <c r="AJ67">
        <f t="shared" si="15"/>
        <v>10201759744</v>
      </c>
      <c r="AK67">
        <f t="shared" si="16"/>
        <v>15438</v>
      </c>
      <c r="AL67">
        <f t="shared" si="17"/>
        <v>2791309312</v>
      </c>
      <c r="AM67">
        <f t="shared" si="18"/>
        <v>4224</v>
      </c>
      <c r="AN67">
        <f t="shared" si="19"/>
        <v>5947392</v>
      </c>
      <c r="AO67">
        <f t="shared" si="28"/>
        <v>1.7859689219823364E+19</v>
      </c>
      <c r="AP67">
        <f t="shared" si="20"/>
        <v>1.0307648678564635E+19</v>
      </c>
      <c r="AQ67">
        <f t="shared" si="21"/>
        <v>-7.5520405412587295E+18</v>
      </c>
      <c r="AR67" s="50"/>
      <c r="AS67" s="50"/>
      <c r="AT67" s="50"/>
      <c r="AU67" s="50"/>
      <c r="AV67" s="50"/>
      <c r="AW67" s="50"/>
    </row>
    <row r="68" spans="2:49">
      <c r="B68">
        <v>180000</v>
      </c>
      <c r="C68">
        <v>1</v>
      </c>
      <c r="D68">
        <v>6017</v>
      </c>
      <c r="E68">
        <v>1812</v>
      </c>
      <c r="F68">
        <f t="shared" si="8"/>
        <v>3283344</v>
      </c>
      <c r="G68">
        <v>3</v>
      </c>
      <c r="H68">
        <f t="shared" ref="H68:H91" si="29">(B68-L$22-L$23*D68-L$24*E68-L$25*F68-L$26*G68)^2</f>
        <v>5138060887.5432291</v>
      </c>
      <c r="I68">
        <f t="shared" si="9"/>
        <v>12892701857.773895</v>
      </c>
      <c r="Z68">
        <f t="shared" ref="Z68:Z91" si="30">H68</f>
        <v>5138060887.5432291</v>
      </c>
      <c r="AA68">
        <f t="shared" ref="AA68:AA91" si="31">C68</f>
        <v>1</v>
      </c>
      <c r="AB68">
        <f t="shared" ref="AB68:AB91" si="32">D68</f>
        <v>6017</v>
      </c>
      <c r="AC68">
        <f t="shared" ref="AC68:AC91" si="33">E68</f>
        <v>1812</v>
      </c>
      <c r="AD68">
        <f t="shared" si="10"/>
        <v>3283344</v>
      </c>
      <c r="AE68">
        <f t="shared" ref="AE68:AE91" si="34">G68</f>
        <v>3</v>
      </c>
      <c r="AF68">
        <f t="shared" si="11"/>
        <v>36204289</v>
      </c>
      <c r="AG68">
        <f t="shared" si="12"/>
        <v>10780347822336</v>
      </c>
      <c r="AH68">
        <f t="shared" si="13"/>
        <v>9</v>
      </c>
      <c r="AI68">
        <f t="shared" si="14"/>
        <v>10902804</v>
      </c>
      <c r="AJ68">
        <f t="shared" si="15"/>
        <v>19755880848</v>
      </c>
      <c r="AK68">
        <f t="shared" si="16"/>
        <v>18051</v>
      </c>
      <c r="AL68">
        <f t="shared" si="17"/>
        <v>5949419328</v>
      </c>
      <c r="AM68">
        <f t="shared" si="18"/>
        <v>5436</v>
      </c>
      <c r="AN68">
        <f t="shared" si="19"/>
        <v>9850032</v>
      </c>
      <c r="AO68">
        <f t="shared" ref="AO68:AO91" si="35">(Z68-AU$37-AU$38*AB68-AU$39*AC68-AU$40*AD68-AU$41*AE68-AU$42*AF68-AU$43*AG68-AU$44*AH68-AU$45*AI68-AU$46*AJ68-AU$47*AK68-AU$48*AL68-AU$49*AM68-AU$50*AN68)^2</f>
        <v>1.0285313544898943E+19</v>
      </c>
      <c r="AP68">
        <f t="shared" si="20"/>
        <v>3.4842515238953272E+18</v>
      </c>
      <c r="AQ68">
        <f t="shared" si="21"/>
        <v>-6.8010620210036163E+18</v>
      </c>
    </row>
    <row r="69" spans="2:49">
      <c r="B69">
        <v>250000</v>
      </c>
      <c r="C69">
        <v>1</v>
      </c>
      <c r="D69">
        <v>8410</v>
      </c>
      <c r="E69">
        <v>1722</v>
      </c>
      <c r="F69">
        <f t="shared" ref="F69:F91" si="36">E69^2</f>
        <v>2965284</v>
      </c>
      <c r="G69">
        <v>3</v>
      </c>
      <c r="H69">
        <f t="shared" si="29"/>
        <v>2598108.6286945515</v>
      </c>
      <c r="I69">
        <f t="shared" ref="I69:I91" si="37">(B69-O$21)^2</f>
        <v>1896257085.0466189</v>
      </c>
      <c r="Z69">
        <f t="shared" si="30"/>
        <v>2598108.6286945515</v>
      </c>
      <c r="AA69">
        <f t="shared" si="31"/>
        <v>1</v>
      </c>
      <c r="AB69">
        <f t="shared" si="32"/>
        <v>8410</v>
      </c>
      <c r="AC69">
        <f t="shared" si="33"/>
        <v>1722</v>
      </c>
      <c r="AD69">
        <f t="shared" ref="AD69:AD91" si="38">AC69^2</f>
        <v>2965284</v>
      </c>
      <c r="AE69">
        <f t="shared" si="34"/>
        <v>3</v>
      </c>
      <c r="AF69">
        <f t="shared" ref="AF69:AF90" si="39">AB69^2</f>
        <v>70728100</v>
      </c>
      <c r="AG69">
        <f t="shared" ref="AG69:AG90" si="40">AD69^2</f>
        <v>8792909200656</v>
      </c>
      <c r="AH69">
        <f t="shared" ref="AH69:AH90" si="41">AE69^2</f>
        <v>9</v>
      </c>
      <c r="AI69">
        <f t="shared" ref="AI69:AI90" si="42">AB69*AC69</f>
        <v>14482020</v>
      </c>
      <c r="AJ69">
        <f t="shared" ref="AJ69:AJ90" si="43">AB69*AD69</f>
        <v>24938038440</v>
      </c>
      <c r="AK69">
        <f t="shared" ref="AK69:AK90" si="44">AB69*AE69</f>
        <v>25230</v>
      </c>
      <c r="AL69">
        <f t="shared" ref="AL69:AL90" si="45">AD69*AC69</f>
        <v>5106219048</v>
      </c>
      <c r="AM69">
        <f t="shared" ref="AM69:AM90" si="46">AC69*AE69</f>
        <v>5166</v>
      </c>
      <c r="AN69">
        <f t="shared" ref="AN69:AN90" si="47">AD69*AE69</f>
        <v>8895852</v>
      </c>
      <c r="AO69">
        <f t="shared" si="35"/>
        <v>6.8403686553004872E+18</v>
      </c>
      <c r="AP69">
        <f t="shared" ref="AP69:AP91" si="48">(Z69-AW$38)^2</f>
        <v>1.0685365861833189E+19</v>
      </c>
      <c r="AQ69">
        <f t="shared" ref="AQ69:AQ91" si="49">AP69-AO69</f>
        <v>3.8449972065327022E+18</v>
      </c>
    </row>
    <row r="70" spans="2:49">
      <c r="B70">
        <v>250000</v>
      </c>
      <c r="C70">
        <v>1</v>
      </c>
      <c r="D70">
        <v>5625</v>
      </c>
      <c r="E70">
        <v>1780</v>
      </c>
      <c r="F70">
        <f t="shared" si="36"/>
        <v>3168400</v>
      </c>
      <c r="G70">
        <v>4</v>
      </c>
      <c r="H70">
        <f t="shared" si="29"/>
        <v>129608251.18421298</v>
      </c>
      <c r="I70">
        <f t="shared" si="37"/>
        <v>1896257085.0466189</v>
      </c>
      <c r="Z70">
        <f t="shared" si="30"/>
        <v>129608251.18421298</v>
      </c>
      <c r="AA70">
        <f t="shared" si="31"/>
        <v>1</v>
      </c>
      <c r="AB70">
        <f t="shared" si="32"/>
        <v>5625</v>
      </c>
      <c r="AC70">
        <f t="shared" si="33"/>
        <v>1780</v>
      </c>
      <c r="AD70">
        <f t="shared" si="38"/>
        <v>3168400</v>
      </c>
      <c r="AE70">
        <f t="shared" si="34"/>
        <v>4</v>
      </c>
      <c r="AF70">
        <f t="shared" si="39"/>
        <v>31640625</v>
      </c>
      <c r="AG70">
        <f t="shared" si="40"/>
        <v>10038758560000</v>
      </c>
      <c r="AH70">
        <f t="shared" si="41"/>
        <v>16</v>
      </c>
      <c r="AI70">
        <f t="shared" si="42"/>
        <v>10012500</v>
      </c>
      <c r="AJ70">
        <f t="shared" si="43"/>
        <v>17822250000</v>
      </c>
      <c r="AK70">
        <f t="shared" si="44"/>
        <v>22500</v>
      </c>
      <c r="AL70">
        <f t="shared" si="45"/>
        <v>5639752000</v>
      </c>
      <c r="AM70">
        <f t="shared" si="46"/>
        <v>7120</v>
      </c>
      <c r="AN70">
        <f t="shared" si="47"/>
        <v>12673600</v>
      </c>
      <c r="AO70">
        <f t="shared" si="35"/>
        <v>6.4275371535853036E+18</v>
      </c>
      <c r="AP70">
        <f t="shared" si="48"/>
        <v>9.8711437910248161E+18</v>
      </c>
      <c r="AQ70">
        <f t="shared" si="49"/>
        <v>3.4436066374395126E+18</v>
      </c>
    </row>
    <row r="71" spans="2:49">
      <c r="B71">
        <v>209000</v>
      </c>
      <c r="C71">
        <v>1</v>
      </c>
      <c r="D71">
        <v>5600</v>
      </c>
      <c r="E71">
        <v>1674</v>
      </c>
      <c r="F71">
        <f t="shared" si="36"/>
        <v>2802276</v>
      </c>
      <c r="G71">
        <v>4</v>
      </c>
      <c r="H71">
        <f t="shared" si="29"/>
        <v>1867250899.9045868</v>
      </c>
      <c r="I71">
        <f t="shared" si="37"/>
        <v>7148031880.5011663</v>
      </c>
      <c r="Z71">
        <f t="shared" si="30"/>
        <v>1867250899.9045868</v>
      </c>
      <c r="AA71">
        <f t="shared" si="31"/>
        <v>1</v>
      </c>
      <c r="AB71">
        <f t="shared" si="32"/>
        <v>5600</v>
      </c>
      <c r="AC71">
        <f t="shared" si="33"/>
        <v>1674</v>
      </c>
      <c r="AD71">
        <f t="shared" si="38"/>
        <v>2802276</v>
      </c>
      <c r="AE71">
        <f t="shared" si="34"/>
        <v>4</v>
      </c>
      <c r="AF71">
        <f t="shared" si="39"/>
        <v>31360000</v>
      </c>
      <c r="AG71">
        <f t="shared" si="40"/>
        <v>7852750780176</v>
      </c>
      <c r="AH71">
        <f t="shared" si="41"/>
        <v>16</v>
      </c>
      <c r="AI71">
        <f t="shared" si="42"/>
        <v>9374400</v>
      </c>
      <c r="AJ71">
        <f t="shared" si="43"/>
        <v>15692745600</v>
      </c>
      <c r="AK71">
        <f t="shared" si="44"/>
        <v>22400</v>
      </c>
      <c r="AL71">
        <f t="shared" si="45"/>
        <v>4691010024</v>
      </c>
      <c r="AM71">
        <f t="shared" si="46"/>
        <v>6696</v>
      </c>
      <c r="AN71">
        <f t="shared" si="47"/>
        <v>11209104</v>
      </c>
      <c r="AO71">
        <f t="shared" si="35"/>
        <v>2.5537893605484902E+18</v>
      </c>
      <c r="AP71">
        <f t="shared" si="48"/>
        <v>1.9717635891346058E+18</v>
      </c>
      <c r="AQ71">
        <f t="shared" si="49"/>
        <v>-5.8202577141388442E+17</v>
      </c>
    </row>
    <row r="72" spans="2:49">
      <c r="B72">
        <v>258000</v>
      </c>
      <c r="C72">
        <v>1</v>
      </c>
      <c r="D72">
        <v>6525</v>
      </c>
      <c r="E72">
        <v>1850</v>
      </c>
      <c r="F72">
        <f t="shared" si="36"/>
        <v>3422500</v>
      </c>
      <c r="G72">
        <v>4</v>
      </c>
      <c r="H72">
        <f t="shared" si="29"/>
        <v>132192808.64535297</v>
      </c>
      <c r="I72">
        <f t="shared" si="37"/>
        <v>1263520539.5920732</v>
      </c>
      <c r="Z72">
        <f t="shared" si="30"/>
        <v>132192808.64535297</v>
      </c>
      <c r="AA72">
        <f t="shared" si="31"/>
        <v>1</v>
      </c>
      <c r="AB72">
        <f t="shared" si="32"/>
        <v>6525</v>
      </c>
      <c r="AC72">
        <f t="shared" si="33"/>
        <v>1850</v>
      </c>
      <c r="AD72">
        <f t="shared" si="38"/>
        <v>3422500</v>
      </c>
      <c r="AE72">
        <f t="shared" si="34"/>
        <v>4</v>
      </c>
      <c r="AF72">
        <f t="shared" si="39"/>
        <v>42575625</v>
      </c>
      <c r="AG72">
        <f t="shared" si="40"/>
        <v>11713506250000</v>
      </c>
      <c r="AH72">
        <f t="shared" si="41"/>
        <v>16</v>
      </c>
      <c r="AI72">
        <f t="shared" si="42"/>
        <v>12071250</v>
      </c>
      <c r="AJ72">
        <f t="shared" si="43"/>
        <v>22331812500</v>
      </c>
      <c r="AK72">
        <f t="shared" si="44"/>
        <v>26100</v>
      </c>
      <c r="AL72">
        <f t="shared" si="45"/>
        <v>6331625000</v>
      </c>
      <c r="AM72">
        <f t="shared" si="46"/>
        <v>7400</v>
      </c>
      <c r="AN72">
        <f t="shared" si="47"/>
        <v>13690000</v>
      </c>
      <c r="AO72">
        <f t="shared" si="35"/>
        <v>5.2538966874068634E+18</v>
      </c>
      <c r="AP72">
        <f t="shared" si="48"/>
        <v>9.8549099511050711E+18</v>
      </c>
      <c r="AQ72">
        <f t="shared" si="49"/>
        <v>4.6010132636982077E+18</v>
      </c>
    </row>
    <row r="73" spans="2:49">
      <c r="B73">
        <v>289000</v>
      </c>
      <c r="C73">
        <v>1</v>
      </c>
      <c r="D73">
        <v>6060</v>
      </c>
      <c r="E73">
        <v>1925</v>
      </c>
      <c r="F73">
        <f t="shared" si="36"/>
        <v>3705625</v>
      </c>
      <c r="G73">
        <v>3</v>
      </c>
      <c r="H73">
        <f t="shared" si="29"/>
        <v>709292171.86357653</v>
      </c>
      <c r="I73">
        <f t="shared" si="37"/>
        <v>20666425.955707885</v>
      </c>
      <c r="Z73">
        <f t="shared" si="30"/>
        <v>709292171.86357653</v>
      </c>
      <c r="AA73">
        <f t="shared" si="31"/>
        <v>1</v>
      </c>
      <c r="AB73">
        <f t="shared" si="32"/>
        <v>6060</v>
      </c>
      <c r="AC73">
        <f t="shared" si="33"/>
        <v>1925</v>
      </c>
      <c r="AD73">
        <f t="shared" si="38"/>
        <v>3705625</v>
      </c>
      <c r="AE73">
        <f t="shared" si="34"/>
        <v>3</v>
      </c>
      <c r="AF73">
        <f t="shared" si="39"/>
        <v>36723600</v>
      </c>
      <c r="AG73">
        <f t="shared" si="40"/>
        <v>13731656640625</v>
      </c>
      <c r="AH73">
        <f t="shared" si="41"/>
        <v>9</v>
      </c>
      <c r="AI73">
        <f t="shared" si="42"/>
        <v>11665500</v>
      </c>
      <c r="AJ73">
        <f t="shared" si="43"/>
        <v>22456087500</v>
      </c>
      <c r="AK73">
        <f t="shared" si="44"/>
        <v>18180</v>
      </c>
      <c r="AL73">
        <f t="shared" si="45"/>
        <v>7133328125</v>
      </c>
      <c r="AM73">
        <f t="shared" si="46"/>
        <v>5775</v>
      </c>
      <c r="AN73">
        <f t="shared" si="47"/>
        <v>11116875</v>
      </c>
      <c r="AO73">
        <f t="shared" si="35"/>
        <v>1.0917945378316667E+17</v>
      </c>
      <c r="AP73">
        <f t="shared" si="48"/>
        <v>6.5646317098926572E+18</v>
      </c>
      <c r="AQ73">
        <f t="shared" si="49"/>
        <v>6.4554522561094902E+18</v>
      </c>
    </row>
    <row r="74" spans="2:49">
      <c r="B74">
        <v>266000</v>
      </c>
      <c r="C74">
        <v>1</v>
      </c>
      <c r="D74">
        <v>5484</v>
      </c>
      <c r="E74">
        <v>1664</v>
      </c>
      <c r="F74">
        <f t="shared" si="36"/>
        <v>2768896</v>
      </c>
      <c r="G74">
        <v>4</v>
      </c>
      <c r="H74">
        <f t="shared" si="29"/>
        <v>220308547.29250833</v>
      </c>
      <c r="I74">
        <f t="shared" si="37"/>
        <v>758783994.13752723</v>
      </c>
      <c r="Z74">
        <f t="shared" si="30"/>
        <v>220308547.29250833</v>
      </c>
      <c r="AA74">
        <f t="shared" si="31"/>
        <v>1</v>
      </c>
      <c r="AB74">
        <f t="shared" si="32"/>
        <v>5484</v>
      </c>
      <c r="AC74">
        <f t="shared" si="33"/>
        <v>1664</v>
      </c>
      <c r="AD74">
        <f t="shared" si="38"/>
        <v>2768896</v>
      </c>
      <c r="AE74">
        <f t="shared" si="34"/>
        <v>4</v>
      </c>
      <c r="AF74">
        <f t="shared" si="39"/>
        <v>30074256</v>
      </c>
      <c r="AG74">
        <f t="shared" si="40"/>
        <v>7666785058816</v>
      </c>
      <c r="AH74">
        <f t="shared" si="41"/>
        <v>16</v>
      </c>
      <c r="AI74">
        <f t="shared" si="42"/>
        <v>9125376</v>
      </c>
      <c r="AJ74">
        <f t="shared" si="43"/>
        <v>15184625664</v>
      </c>
      <c r="AK74">
        <f t="shared" si="44"/>
        <v>21936</v>
      </c>
      <c r="AL74">
        <f t="shared" si="45"/>
        <v>4607442944</v>
      </c>
      <c r="AM74">
        <f t="shared" si="46"/>
        <v>6656</v>
      </c>
      <c r="AN74">
        <f t="shared" si="47"/>
        <v>11075584</v>
      </c>
      <c r="AO74">
        <f t="shared" si="35"/>
        <v>1.0826841975293544E+19</v>
      </c>
      <c r="AP74">
        <f t="shared" si="48"/>
        <v>9.3094391251869471E+18</v>
      </c>
      <c r="AQ74">
        <f t="shared" si="49"/>
        <v>-1.5174028501065974E+18</v>
      </c>
    </row>
    <row r="75" spans="2:49">
      <c r="B75">
        <v>310000</v>
      </c>
      <c r="C75">
        <v>1</v>
      </c>
      <c r="D75">
        <v>5348</v>
      </c>
      <c r="E75">
        <v>1386</v>
      </c>
      <c r="F75">
        <f t="shared" si="36"/>
        <v>1920996</v>
      </c>
      <c r="G75">
        <v>6</v>
      </c>
      <c r="H75">
        <f t="shared" si="29"/>
        <v>2838077418.9461703</v>
      </c>
      <c r="I75">
        <f t="shared" si="37"/>
        <v>270732994.13752496</v>
      </c>
      <c r="Z75">
        <f t="shared" si="30"/>
        <v>2838077418.9461703</v>
      </c>
      <c r="AA75">
        <f t="shared" si="31"/>
        <v>1</v>
      </c>
      <c r="AB75">
        <f t="shared" si="32"/>
        <v>5348</v>
      </c>
      <c r="AC75">
        <f t="shared" si="33"/>
        <v>1386</v>
      </c>
      <c r="AD75">
        <f t="shared" si="38"/>
        <v>1920996</v>
      </c>
      <c r="AE75">
        <f t="shared" si="34"/>
        <v>6</v>
      </c>
      <c r="AF75">
        <f t="shared" si="39"/>
        <v>28601104</v>
      </c>
      <c r="AG75">
        <f t="shared" si="40"/>
        <v>3690225632016</v>
      </c>
      <c r="AH75">
        <f t="shared" si="41"/>
        <v>36</v>
      </c>
      <c r="AI75">
        <f t="shared" si="42"/>
        <v>7412328</v>
      </c>
      <c r="AJ75">
        <f t="shared" si="43"/>
        <v>10273486608</v>
      </c>
      <c r="AK75">
        <f t="shared" si="44"/>
        <v>32088</v>
      </c>
      <c r="AL75">
        <f t="shared" si="45"/>
        <v>2662500456</v>
      </c>
      <c r="AM75">
        <f t="shared" si="46"/>
        <v>8316</v>
      </c>
      <c r="AN75">
        <f t="shared" si="47"/>
        <v>11525976</v>
      </c>
      <c r="AO75">
        <f t="shared" si="35"/>
        <v>2.873404218473231E+17</v>
      </c>
      <c r="AP75">
        <f t="shared" si="48"/>
        <v>1.8780823754441507E+17</v>
      </c>
      <c r="AQ75">
        <f t="shared" si="49"/>
        <v>-9.9532184302908032E+16</v>
      </c>
    </row>
    <row r="76" spans="2:49">
      <c r="B76">
        <v>471250</v>
      </c>
      <c r="C76">
        <v>1</v>
      </c>
      <c r="D76">
        <v>15834</v>
      </c>
      <c r="E76">
        <v>2617</v>
      </c>
      <c r="F76">
        <f t="shared" si="36"/>
        <v>6848689</v>
      </c>
      <c r="G76">
        <v>5</v>
      </c>
      <c r="H76">
        <f t="shared" si="29"/>
        <v>6887041428.3590717</v>
      </c>
      <c r="I76">
        <f t="shared" si="37"/>
        <v>31578699499.819336</v>
      </c>
      <c r="Z76">
        <f t="shared" si="30"/>
        <v>6887041428.3590717</v>
      </c>
      <c r="AA76">
        <f t="shared" si="31"/>
        <v>1</v>
      </c>
      <c r="AB76">
        <f t="shared" si="32"/>
        <v>15834</v>
      </c>
      <c r="AC76">
        <f t="shared" si="33"/>
        <v>2617</v>
      </c>
      <c r="AD76">
        <f t="shared" si="38"/>
        <v>6848689</v>
      </c>
      <c r="AE76">
        <f t="shared" si="34"/>
        <v>5</v>
      </c>
      <c r="AF76">
        <f t="shared" si="39"/>
        <v>250715556</v>
      </c>
      <c r="AG76">
        <f t="shared" si="40"/>
        <v>46904541018721</v>
      </c>
      <c r="AH76">
        <f t="shared" si="41"/>
        <v>25</v>
      </c>
      <c r="AI76">
        <f t="shared" si="42"/>
        <v>41437578</v>
      </c>
      <c r="AJ76">
        <f t="shared" si="43"/>
        <v>108442141626</v>
      </c>
      <c r="AK76">
        <f t="shared" si="44"/>
        <v>79170</v>
      </c>
      <c r="AL76">
        <f t="shared" si="45"/>
        <v>17923019113</v>
      </c>
      <c r="AM76">
        <f t="shared" si="46"/>
        <v>13085</v>
      </c>
      <c r="AN76">
        <f t="shared" si="47"/>
        <v>34243445</v>
      </c>
      <c r="AO76">
        <f t="shared" si="35"/>
        <v>1.2452318174071704E+19</v>
      </c>
      <c r="AP76">
        <f t="shared" si="48"/>
        <v>1.3072531048271524E+19</v>
      </c>
      <c r="AQ76">
        <f t="shared" si="49"/>
        <v>6.2021287419982029E+17</v>
      </c>
    </row>
    <row r="77" spans="2:49">
      <c r="B77">
        <v>335000</v>
      </c>
      <c r="C77">
        <v>1</v>
      </c>
      <c r="D77">
        <v>8022</v>
      </c>
      <c r="E77">
        <v>2321</v>
      </c>
      <c r="F77">
        <f t="shared" si="36"/>
        <v>5387041</v>
      </c>
      <c r="G77">
        <v>4</v>
      </c>
      <c r="H77">
        <f t="shared" si="29"/>
        <v>163591800.06847414</v>
      </c>
      <c r="I77">
        <f t="shared" si="37"/>
        <v>1718431289.5920691</v>
      </c>
      <c r="Z77">
        <f t="shared" si="30"/>
        <v>163591800.06847414</v>
      </c>
      <c r="AA77">
        <f t="shared" si="31"/>
        <v>1</v>
      </c>
      <c r="AB77">
        <f t="shared" si="32"/>
        <v>8022</v>
      </c>
      <c r="AC77">
        <f t="shared" si="33"/>
        <v>2321</v>
      </c>
      <c r="AD77">
        <f t="shared" si="38"/>
        <v>5387041</v>
      </c>
      <c r="AE77">
        <f t="shared" si="34"/>
        <v>4</v>
      </c>
      <c r="AF77">
        <f t="shared" si="39"/>
        <v>64352484</v>
      </c>
      <c r="AG77">
        <f t="shared" si="40"/>
        <v>29020210735681</v>
      </c>
      <c r="AH77">
        <f t="shared" si="41"/>
        <v>16</v>
      </c>
      <c r="AI77">
        <f t="shared" si="42"/>
        <v>18619062</v>
      </c>
      <c r="AJ77">
        <f t="shared" si="43"/>
        <v>43214842902</v>
      </c>
      <c r="AK77">
        <f t="shared" si="44"/>
        <v>32088</v>
      </c>
      <c r="AL77">
        <f t="shared" si="45"/>
        <v>12503322161</v>
      </c>
      <c r="AM77">
        <f t="shared" si="46"/>
        <v>9284</v>
      </c>
      <c r="AN77">
        <f t="shared" si="47"/>
        <v>21548164</v>
      </c>
      <c r="AO77">
        <f t="shared" si="35"/>
        <v>1.3908042781830254E+18</v>
      </c>
      <c r="AP77">
        <f t="shared" si="48"/>
        <v>9.6587570861913436E+18</v>
      </c>
      <c r="AQ77">
        <f t="shared" si="49"/>
        <v>8.267952808008318E+18</v>
      </c>
    </row>
    <row r="78" spans="2:49">
      <c r="B78">
        <v>495000</v>
      </c>
      <c r="C78">
        <v>1</v>
      </c>
      <c r="D78">
        <v>11966</v>
      </c>
      <c r="E78">
        <v>2638</v>
      </c>
      <c r="F78">
        <f t="shared" si="36"/>
        <v>6959044</v>
      </c>
      <c r="G78">
        <v>4</v>
      </c>
      <c r="H78">
        <f t="shared" si="29"/>
        <v>15563917331.818933</v>
      </c>
      <c r="I78">
        <f t="shared" si="37"/>
        <v>40583700380.501152</v>
      </c>
      <c r="Z78">
        <f t="shared" si="30"/>
        <v>15563917331.818933</v>
      </c>
      <c r="AA78">
        <f t="shared" si="31"/>
        <v>1</v>
      </c>
      <c r="AB78">
        <f t="shared" si="32"/>
        <v>11966</v>
      </c>
      <c r="AC78">
        <f t="shared" si="33"/>
        <v>2638</v>
      </c>
      <c r="AD78">
        <f t="shared" si="38"/>
        <v>6959044</v>
      </c>
      <c r="AE78">
        <f t="shared" si="34"/>
        <v>4</v>
      </c>
      <c r="AF78">
        <f t="shared" si="39"/>
        <v>143185156</v>
      </c>
      <c r="AG78">
        <f t="shared" si="40"/>
        <v>48428293393936</v>
      </c>
      <c r="AH78">
        <f t="shared" si="41"/>
        <v>16</v>
      </c>
      <c r="AI78">
        <f t="shared" si="42"/>
        <v>31566308</v>
      </c>
      <c r="AJ78">
        <f t="shared" si="43"/>
        <v>83271920504</v>
      </c>
      <c r="AK78">
        <f t="shared" si="44"/>
        <v>47864</v>
      </c>
      <c r="AL78">
        <f t="shared" si="45"/>
        <v>18357958072</v>
      </c>
      <c r="AM78">
        <f t="shared" si="46"/>
        <v>10552</v>
      </c>
      <c r="AN78">
        <f t="shared" si="47"/>
        <v>27836176</v>
      </c>
      <c r="AO78">
        <f t="shared" si="35"/>
        <v>9.7196988358519783E+19</v>
      </c>
      <c r="AP78">
        <f t="shared" si="48"/>
        <v>1.5110485398225781E+20</v>
      </c>
      <c r="AQ78">
        <f t="shared" si="49"/>
        <v>5.3907865623738024E+19</v>
      </c>
    </row>
    <row r="79" spans="2:49">
      <c r="B79">
        <v>279500</v>
      </c>
      <c r="C79">
        <v>1</v>
      </c>
      <c r="D79">
        <v>8460</v>
      </c>
      <c r="E79">
        <v>1915</v>
      </c>
      <c r="F79">
        <f t="shared" si="36"/>
        <v>3667225</v>
      </c>
      <c r="G79">
        <v>4</v>
      </c>
      <c r="H79">
        <f t="shared" si="29"/>
        <v>8334.8529833585108</v>
      </c>
      <c r="I79">
        <f t="shared" si="37"/>
        <v>197291073.6829811</v>
      </c>
      <c r="Z79">
        <f t="shared" si="30"/>
        <v>8334.8529833585108</v>
      </c>
      <c r="AA79">
        <f t="shared" si="31"/>
        <v>1</v>
      </c>
      <c r="AB79">
        <f t="shared" si="32"/>
        <v>8460</v>
      </c>
      <c r="AC79">
        <f t="shared" si="33"/>
        <v>1915</v>
      </c>
      <c r="AD79">
        <f t="shared" si="38"/>
        <v>3667225</v>
      </c>
      <c r="AE79">
        <f t="shared" si="34"/>
        <v>4</v>
      </c>
      <c r="AF79">
        <f t="shared" si="39"/>
        <v>71571600</v>
      </c>
      <c r="AG79">
        <f t="shared" si="40"/>
        <v>13448539200625</v>
      </c>
      <c r="AH79">
        <f t="shared" si="41"/>
        <v>16</v>
      </c>
      <c r="AI79">
        <f t="shared" si="42"/>
        <v>16200900</v>
      </c>
      <c r="AJ79">
        <f t="shared" si="43"/>
        <v>31024723500</v>
      </c>
      <c r="AK79">
        <f t="shared" si="44"/>
        <v>33840</v>
      </c>
      <c r="AL79">
        <f t="shared" si="45"/>
        <v>7022735875</v>
      </c>
      <c r="AM79">
        <f t="shared" si="46"/>
        <v>7660</v>
      </c>
      <c r="AN79">
        <f t="shared" si="47"/>
        <v>14668900</v>
      </c>
      <c r="AO79">
        <f t="shared" si="35"/>
        <v>7.4702962047000515E+18</v>
      </c>
      <c r="AP79">
        <f t="shared" si="48"/>
        <v>1.0702303721318277E+19</v>
      </c>
      <c r="AQ79">
        <f t="shared" si="49"/>
        <v>3.2320075166182257E+18</v>
      </c>
    </row>
    <row r="80" spans="2:49">
      <c r="B80">
        <v>380000</v>
      </c>
      <c r="C80">
        <v>1</v>
      </c>
      <c r="D80">
        <v>15105</v>
      </c>
      <c r="E80">
        <v>2589</v>
      </c>
      <c r="F80">
        <f t="shared" si="36"/>
        <v>6702921</v>
      </c>
      <c r="G80">
        <v>4</v>
      </c>
      <c r="H80">
        <f t="shared" si="29"/>
        <v>105115971.17754266</v>
      </c>
      <c r="I80">
        <f t="shared" si="37"/>
        <v>7474288221.4102488</v>
      </c>
      <c r="Z80">
        <f t="shared" si="30"/>
        <v>105115971.17754266</v>
      </c>
      <c r="AA80">
        <f t="shared" si="31"/>
        <v>1</v>
      </c>
      <c r="AB80">
        <f t="shared" si="32"/>
        <v>15105</v>
      </c>
      <c r="AC80">
        <f t="shared" si="33"/>
        <v>2589</v>
      </c>
      <c r="AD80">
        <f t="shared" si="38"/>
        <v>6702921</v>
      </c>
      <c r="AE80">
        <f t="shared" si="34"/>
        <v>4</v>
      </c>
      <c r="AF80">
        <f t="shared" si="39"/>
        <v>228161025</v>
      </c>
      <c r="AG80">
        <f t="shared" si="40"/>
        <v>44929149932241</v>
      </c>
      <c r="AH80">
        <f t="shared" si="41"/>
        <v>16</v>
      </c>
      <c r="AI80">
        <f t="shared" si="42"/>
        <v>39106845</v>
      </c>
      <c r="AJ80">
        <f t="shared" si="43"/>
        <v>101247621705</v>
      </c>
      <c r="AK80">
        <f t="shared" si="44"/>
        <v>60420</v>
      </c>
      <c r="AL80">
        <f t="shared" si="45"/>
        <v>17353862469</v>
      </c>
      <c r="AM80">
        <f t="shared" si="46"/>
        <v>10356</v>
      </c>
      <c r="AN80">
        <f t="shared" si="47"/>
        <v>26811684</v>
      </c>
      <c r="AO80">
        <f t="shared" si="35"/>
        <v>5.2391116823099785E+19</v>
      </c>
      <c r="AP80">
        <f t="shared" si="48"/>
        <v>1.0025645197505591E+19</v>
      </c>
      <c r="AQ80">
        <f t="shared" si="49"/>
        <v>-4.2365471625594192E+19</v>
      </c>
    </row>
    <row r="81" spans="2:43">
      <c r="B81">
        <v>220000</v>
      </c>
      <c r="C81">
        <v>1</v>
      </c>
      <c r="D81">
        <v>6300</v>
      </c>
      <c r="E81">
        <v>1587</v>
      </c>
      <c r="F81">
        <f t="shared" si="36"/>
        <v>2518569</v>
      </c>
      <c r="G81">
        <v>3</v>
      </c>
      <c r="H81">
        <f t="shared" si="29"/>
        <v>174298485.01092473</v>
      </c>
      <c r="I81">
        <f t="shared" si="37"/>
        <v>5409019130.5011663</v>
      </c>
      <c r="Z81">
        <f t="shared" si="30"/>
        <v>174298485.01092473</v>
      </c>
      <c r="AA81">
        <f t="shared" si="31"/>
        <v>1</v>
      </c>
      <c r="AB81">
        <f t="shared" si="32"/>
        <v>6300</v>
      </c>
      <c r="AC81">
        <f t="shared" si="33"/>
        <v>1587</v>
      </c>
      <c r="AD81">
        <f t="shared" si="38"/>
        <v>2518569</v>
      </c>
      <c r="AE81">
        <f t="shared" si="34"/>
        <v>3</v>
      </c>
      <c r="AF81">
        <f t="shared" si="39"/>
        <v>39690000</v>
      </c>
      <c r="AG81">
        <f t="shared" si="40"/>
        <v>6343189807761</v>
      </c>
      <c r="AH81">
        <f t="shared" si="41"/>
        <v>9</v>
      </c>
      <c r="AI81">
        <f t="shared" si="42"/>
        <v>9998100</v>
      </c>
      <c r="AJ81">
        <f t="shared" si="43"/>
        <v>15866984700</v>
      </c>
      <c r="AK81">
        <f t="shared" si="44"/>
        <v>18900</v>
      </c>
      <c r="AL81">
        <f t="shared" si="45"/>
        <v>3996969003</v>
      </c>
      <c r="AM81">
        <f t="shared" si="46"/>
        <v>4761</v>
      </c>
      <c r="AN81">
        <f t="shared" si="47"/>
        <v>7555707</v>
      </c>
      <c r="AO81">
        <f t="shared" si="35"/>
        <v>1.1275620519897315E+19</v>
      </c>
      <c r="AP81">
        <f t="shared" si="48"/>
        <v>9.5923220899734917E+18</v>
      </c>
      <c r="AQ81">
        <f t="shared" si="49"/>
        <v>-1.6832984299238236E+18</v>
      </c>
    </row>
    <row r="82" spans="2:43">
      <c r="B82">
        <v>240000</v>
      </c>
      <c r="C82">
        <v>1</v>
      </c>
      <c r="D82">
        <v>6000</v>
      </c>
      <c r="E82">
        <v>1536</v>
      </c>
      <c r="F82">
        <f t="shared" si="36"/>
        <v>2359296</v>
      </c>
      <c r="G82">
        <v>3</v>
      </c>
      <c r="H82">
        <f t="shared" si="29"/>
        <v>127874457.1078033</v>
      </c>
      <c r="I82">
        <f t="shared" si="37"/>
        <v>2867177766.8648014</v>
      </c>
      <c r="Z82">
        <f t="shared" si="30"/>
        <v>127874457.1078033</v>
      </c>
      <c r="AA82">
        <f t="shared" si="31"/>
        <v>1</v>
      </c>
      <c r="AB82">
        <f t="shared" si="32"/>
        <v>6000</v>
      </c>
      <c r="AC82">
        <f t="shared" si="33"/>
        <v>1536</v>
      </c>
      <c r="AD82">
        <f t="shared" si="38"/>
        <v>2359296</v>
      </c>
      <c r="AE82">
        <f t="shared" si="34"/>
        <v>3</v>
      </c>
      <c r="AF82">
        <f t="shared" si="39"/>
        <v>36000000</v>
      </c>
      <c r="AG82">
        <f t="shared" si="40"/>
        <v>5566277615616</v>
      </c>
      <c r="AH82">
        <f t="shared" si="41"/>
        <v>9</v>
      </c>
      <c r="AI82">
        <f t="shared" si="42"/>
        <v>9216000</v>
      </c>
      <c r="AJ82">
        <f t="shared" si="43"/>
        <v>14155776000</v>
      </c>
      <c r="AK82">
        <f t="shared" si="44"/>
        <v>18000</v>
      </c>
      <c r="AL82">
        <f t="shared" si="45"/>
        <v>3623878656</v>
      </c>
      <c r="AM82">
        <f t="shared" si="46"/>
        <v>4608</v>
      </c>
      <c r="AN82">
        <f t="shared" si="47"/>
        <v>7077888</v>
      </c>
      <c r="AO82">
        <f t="shared" si="35"/>
        <v>1.3603123769984358E+19</v>
      </c>
      <c r="AP82">
        <f t="shared" si="48"/>
        <v>9.8820413960645243E+18</v>
      </c>
      <c r="AQ82">
        <f t="shared" si="49"/>
        <v>-3.7210823739198341E+18</v>
      </c>
    </row>
    <row r="83" spans="2:43">
      <c r="B83">
        <v>230000</v>
      </c>
      <c r="C83">
        <v>1</v>
      </c>
      <c r="D83">
        <v>4054</v>
      </c>
      <c r="E83">
        <v>1736</v>
      </c>
      <c r="F83">
        <f t="shared" si="36"/>
        <v>3013696</v>
      </c>
      <c r="G83">
        <v>3</v>
      </c>
      <c r="H83">
        <f t="shared" si="29"/>
        <v>123791445.05228049</v>
      </c>
      <c r="I83">
        <f t="shared" si="37"/>
        <v>4038098448.6829839</v>
      </c>
      <c r="Z83">
        <f t="shared" si="30"/>
        <v>123791445.05228049</v>
      </c>
      <c r="AA83">
        <f t="shared" si="31"/>
        <v>1</v>
      </c>
      <c r="AB83">
        <f t="shared" si="32"/>
        <v>4054</v>
      </c>
      <c r="AC83">
        <f t="shared" si="33"/>
        <v>1736</v>
      </c>
      <c r="AD83">
        <f t="shared" si="38"/>
        <v>3013696</v>
      </c>
      <c r="AE83">
        <f t="shared" si="34"/>
        <v>3</v>
      </c>
      <c r="AF83">
        <f t="shared" si="39"/>
        <v>16434916</v>
      </c>
      <c r="AG83">
        <f t="shared" si="40"/>
        <v>9082363580416</v>
      </c>
      <c r="AH83">
        <f t="shared" si="41"/>
        <v>9</v>
      </c>
      <c r="AI83">
        <f t="shared" si="42"/>
        <v>7037744</v>
      </c>
      <c r="AJ83">
        <f t="shared" si="43"/>
        <v>12217523584</v>
      </c>
      <c r="AK83">
        <f t="shared" si="44"/>
        <v>12162</v>
      </c>
      <c r="AL83">
        <f t="shared" si="45"/>
        <v>5231776256</v>
      </c>
      <c r="AM83">
        <f t="shared" si="46"/>
        <v>5208</v>
      </c>
      <c r="AN83">
        <f t="shared" si="47"/>
        <v>9041088</v>
      </c>
      <c r="AO83">
        <f t="shared" si="35"/>
        <v>5.8153137674648791E+18</v>
      </c>
      <c r="AP83">
        <f t="shared" si="48"/>
        <v>9.9077285472227922E+18</v>
      </c>
      <c r="AQ83">
        <f t="shared" si="49"/>
        <v>4.0924147797579131E+18</v>
      </c>
    </row>
    <row r="84" spans="2:43">
      <c r="B84">
        <v>318000</v>
      </c>
      <c r="C84">
        <v>1</v>
      </c>
      <c r="D84">
        <v>92681</v>
      </c>
      <c r="E84">
        <v>1696</v>
      </c>
      <c r="F84">
        <f t="shared" si="36"/>
        <v>2876416</v>
      </c>
      <c r="G84">
        <v>4</v>
      </c>
      <c r="H84">
        <f t="shared" si="29"/>
        <v>11098821567.023144</v>
      </c>
      <c r="I84">
        <f t="shared" si="37"/>
        <v>597996448.68297911</v>
      </c>
      <c r="Z84">
        <f t="shared" si="30"/>
        <v>11098821567.023144</v>
      </c>
      <c r="AA84">
        <f t="shared" si="31"/>
        <v>1</v>
      </c>
      <c r="AB84">
        <f t="shared" si="32"/>
        <v>92681</v>
      </c>
      <c r="AC84">
        <f t="shared" si="33"/>
        <v>1696</v>
      </c>
      <c r="AD84">
        <f t="shared" si="38"/>
        <v>2876416</v>
      </c>
      <c r="AE84">
        <f t="shared" si="34"/>
        <v>4</v>
      </c>
      <c r="AF84">
        <f t="shared" si="39"/>
        <v>8589767761</v>
      </c>
      <c r="AG84">
        <f t="shared" si="40"/>
        <v>8273769005056</v>
      </c>
      <c r="AH84">
        <f t="shared" si="41"/>
        <v>16</v>
      </c>
      <c r="AI84">
        <f t="shared" si="42"/>
        <v>157186976</v>
      </c>
      <c r="AJ84">
        <f t="shared" si="43"/>
        <v>266589111296</v>
      </c>
      <c r="AK84">
        <f t="shared" si="44"/>
        <v>370724</v>
      </c>
      <c r="AL84">
        <f t="shared" si="45"/>
        <v>4878401536</v>
      </c>
      <c r="AM84">
        <f t="shared" si="46"/>
        <v>6784</v>
      </c>
      <c r="AN84">
        <f t="shared" si="47"/>
        <v>11505664</v>
      </c>
      <c r="AO84">
        <f t="shared" si="35"/>
        <v>1.3457377916029805E+17</v>
      </c>
      <c r="AP84">
        <f t="shared" si="48"/>
        <v>6.1267809883757216E+19</v>
      </c>
      <c r="AQ84">
        <f t="shared" si="49"/>
        <v>6.1133236104596914E+19</v>
      </c>
    </row>
    <row r="85" spans="2:43">
      <c r="B85">
        <v>330000</v>
      </c>
      <c r="C85">
        <v>1</v>
      </c>
      <c r="D85">
        <v>8178</v>
      </c>
      <c r="E85">
        <v>2186</v>
      </c>
      <c r="F85">
        <f t="shared" si="36"/>
        <v>4778596</v>
      </c>
      <c r="G85">
        <v>3</v>
      </c>
      <c r="H85">
        <f t="shared" si="29"/>
        <v>1321108236.243238</v>
      </c>
      <c r="I85">
        <f t="shared" si="37"/>
        <v>1328891630.5011601</v>
      </c>
      <c r="Z85">
        <f t="shared" si="30"/>
        <v>1321108236.243238</v>
      </c>
      <c r="AA85">
        <f t="shared" si="31"/>
        <v>1</v>
      </c>
      <c r="AB85">
        <f t="shared" si="32"/>
        <v>8178</v>
      </c>
      <c r="AC85">
        <f t="shared" si="33"/>
        <v>2186</v>
      </c>
      <c r="AD85">
        <f t="shared" si="38"/>
        <v>4778596</v>
      </c>
      <c r="AE85">
        <f t="shared" si="34"/>
        <v>3</v>
      </c>
      <c r="AF85">
        <f t="shared" si="39"/>
        <v>66879684</v>
      </c>
      <c r="AG85">
        <f t="shared" si="40"/>
        <v>22834979731216</v>
      </c>
      <c r="AH85">
        <f t="shared" si="41"/>
        <v>9</v>
      </c>
      <c r="AI85">
        <f t="shared" si="42"/>
        <v>17877108</v>
      </c>
      <c r="AJ85">
        <f t="shared" si="43"/>
        <v>39079358088</v>
      </c>
      <c r="AK85">
        <f t="shared" si="44"/>
        <v>24534</v>
      </c>
      <c r="AL85">
        <f t="shared" si="45"/>
        <v>10446010856</v>
      </c>
      <c r="AM85">
        <f t="shared" si="46"/>
        <v>6558</v>
      </c>
      <c r="AN85">
        <f t="shared" si="47"/>
        <v>14335788</v>
      </c>
      <c r="AO85">
        <f t="shared" si="35"/>
        <v>1.1628772862902902E+18</v>
      </c>
      <c r="AP85">
        <f t="shared" si="48"/>
        <v>3.8038169899478159E+18</v>
      </c>
      <c r="AQ85">
        <f t="shared" si="49"/>
        <v>2.6409397036575258E+18</v>
      </c>
    </row>
    <row r="86" spans="2:43">
      <c r="B86">
        <v>246000</v>
      </c>
      <c r="C86">
        <v>1</v>
      </c>
      <c r="D86">
        <v>5944</v>
      </c>
      <c r="E86">
        <v>1928</v>
      </c>
      <c r="F86">
        <f t="shared" si="36"/>
        <v>3717184</v>
      </c>
      <c r="G86">
        <v>4</v>
      </c>
      <c r="H86">
        <f t="shared" si="29"/>
        <v>886547913.7727015</v>
      </c>
      <c r="I86">
        <f t="shared" si="37"/>
        <v>2260625357.7738919</v>
      </c>
      <c r="Z86">
        <f t="shared" si="30"/>
        <v>886547913.7727015</v>
      </c>
      <c r="AA86">
        <f t="shared" si="31"/>
        <v>1</v>
      </c>
      <c r="AB86">
        <f t="shared" si="32"/>
        <v>5944</v>
      </c>
      <c r="AC86">
        <f t="shared" si="33"/>
        <v>1928</v>
      </c>
      <c r="AD86">
        <f t="shared" si="38"/>
        <v>3717184</v>
      </c>
      <c r="AE86">
        <f t="shared" si="34"/>
        <v>4</v>
      </c>
      <c r="AF86">
        <f t="shared" si="39"/>
        <v>35331136</v>
      </c>
      <c r="AG86">
        <f t="shared" si="40"/>
        <v>13817456889856</v>
      </c>
      <c r="AH86">
        <f t="shared" si="41"/>
        <v>16</v>
      </c>
      <c r="AI86">
        <f t="shared" si="42"/>
        <v>11460032</v>
      </c>
      <c r="AJ86">
        <f t="shared" si="43"/>
        <v>22094941696</v>
      </c>
      <c r="AK86">
        <f t="shared" si="44"/>
        <v>23776</v>
      </c>
      <c r="AL86">
        <f t="shared" si="45"/>
        <v>7166730752</v>
      </c>
      <c r="AM86">
        <f t="shared" si="46"/>
        <v>7712</v>
      </c>
      <c r="AN86">
        <f t="shared" si="47"/>
        <v>14868736</v>
      </c>
      <c r="AO86">
        <f t="shared" si="35"/>
        <v>5.404465178647097E+17</v>
      </c>
      <c r="AP86">
        <f t="shared" si="48"/>
        <v>5.687738389156394E+18</v>
      </c>
      <c r="AQ86">
        <f t="shared" si="49"/>
        <v>5.1472918712916838E+18</v>
      </c>
    </row>
    <row r="87" spans="2:43">
      <c r="B87">
        <v>111000</v>
      </c>
      <c r="C87">
        <v>1</v>
      </c>
      <c r="D87">
        <v>4315</v>
      </c>
      <c r="E87">
        <v>1535</v>
      </c>
      <c r="F87">
        <f t="shared" si="36"/>
        <v>2356225</v>
      </c>
      <c r="G87">
        <v>4</v>
      </c>
      <c r="H87">
        <f t="shared" si="29"/>
        <v>16302789196.783758</v>
      </c>
      <c r="I87">
        <f t="shared" si="37"/>
        <v>33323054562.319355</v>
      </c>
      <c r="Z87">
        <f t="shared" si="30"/>
        <v>16302789196.783758</v>
      </c>
      <c r="AA87">
        <f t="shared" si="31"/>
        <v>1</v>
      </c>
      <c r="AB87">
        <f t="shared" si="32"/>
        <v>4315</v>
      </c>
      <c r="AC87">
        <f t="shared" si="33"/>
        <v>1535</v>
      </c>
      <c r="AD87">
        <f t="shared" si="38"/>
        <v>2356225</v>
      </c>
      <c r="AE87">
        <f t="shared" si="34"/>
        <v>4</v>
      </c>
      <c r="AF87">
        <f t="shared" si="39"/>
        <v>18619225</v>
      </c>
      <c r="AG87">
        <f t="shared" si="40"/>
        <v>5551796250625</v>
      </c>
      <c r="AH87">
        <f t="shared" si="41"/>
        <v>16</v>
      </c>
      <c r="AI87">
        <f t="shared" si="42"/>
        <v>6623525</v>
      </c>
      <c r="AJ87">
        <f t="shared" si="43"/>
        <v>10167110875</v>
      </c>
      <c r="AK87">
        <f t="shared" si="44"/>
        <v>17260</v>
      </c>
      <c r="AL87">
        <f t="shared" si="45"/>
        <v>3616805375</v>
      </c>
      <c r="AM87">
        <f t="shared" si="46"/>
        <v>6140</v>
      </c>
      <c r="AN87">
        <f t="shared" si="47"/>
        <v>9424900</v>
      </c>
      <c r="AO87">
        <f t="shared" si="35"/>
        <v>1.4823076068473422E+20</v>
      </c>
      <c r="AP87">
        <f t="shared" si="48"/>
        <v>1.6981590820362319E+20</v>
      </c>
      <c r="AQ87">
        <f t="shared" si="49"/>
        <v>2.1585147518888968E+19</v>
      </c>
    </row>
    <row r="88" spans="2:43">
      <c r="B88">
        <v>268125</v>
      </c>
      <c r="C88">
        <v>1</v>
      </c>
      <c r="D88">
        <v>5167</v>
      </c>
      <c r="E88">
        <v>1980</v>
      </c>
      <c r="F88">
        <f t="shared" si="36"/>
        <v>3920400</v>
      </c>
      <c r="G88">
        <v>3</v>
      </c>
      <c r="H88">
        <f t="shared" si="29"/>
        <v>4323327.2075658534</v>
      </c>
      <c r="I88">
        <f t="shared" si="37"/>
        <v>646228974.25116348</v>
      </c>
      <c r="Z88">
        <f t="shared" si="30"/>
        <v>4323327.2075658534</v>
      </c>
      <c r="AA88">
        <f t="shared" si="31"/>
        <v>1</v>
      </c>
      <c r="AB88">
        <f t="shared" si="32"/>
        <v>5167</v>
      </c>
      <c r="AC88">
        <f t="shared" si="33"/>
        <v>1980</v>
      </c>
      <c r="AD88">
        <f t="shared" si="38"/>
        <v>3920400</v>
      </c>
      <c r="AE88">
        <f t="shared" si="34"/>
        <v>3</v>
      </c>
      <c r="AF88">
        <f t="shared" si="39"/>
        <v>26697889</v>
      </c>
      <c r="AG88">
        <f t="shared" si="40"/>
        <v>15369536160000</v>
      </c>
      <c r="AH88">
        <f t="shared" si="41"/>
        <v>9</v>
      </c>
      <c r="AI88">
        <f t="shared" si="42"/>
        <v>10230660</v>
      </c>
      <c r="AJ88">
        <f t="shared" si="43"/>
        <v>20256706800</v>
      </c>
      <c r="AK88">
        <f t="shared" si="44"/>
        <v>15501</v>
      </c>
      <c r="AL88">
        <f t="shared" si="45"/>
        <v>7762392000</v>
      </c>
      <c r="AM88">
        <f t="shared" si="46"/>
        <v>5940</v>
      </c>
      <c r="AN88">
        <f t="shared" si="47"/>
        <v>11761200</v>
      </c>
      <c r="AO88">
        <f t="shared" si="35"/>
        <v>2.2423606572921411E+17</v>
      </c>
      <c r="AP88">
        <f t="shared" si="48"/>
        <v>1.0674089884341234E+19</v>
      </c>
      <c r="AQ88">
        <f t="shared" si="49"/>
        <v>1.0449853818612019E+19</v>
      </c>
    </row>
    <row r="89" spans="2:43">
      <c r="B89">
        <v>244000</v>
      </c>
      <c r="C89">
        <v>1</v>
      </c>
      <c r="D89">
        <v>7893</v>
      </c>
      <c r="E89">
        <v>2090</v>
      </c>
      <c r="F89">
        <f t="shared" si="36"/>
        <v>4368100</v>
      </c>
      <c r="G89">
        <v>4</v>
      </c>
      <c r="H89">
        <f t="shared" si="29"/>
        <v>2705432273.6940885</v>
      </c>
      <c r="I89">
        <f t="shared" si="37"/>
        <v>2454809494.1375284</v>
      </c>
      <c r="Z89">
        <f t="shared" si="30"/>
        <v>2705432273.6940885</v>
      </c>
      <c r="AA89">
        <f t="shared" si="31"/>
        <v>1</v>
      </c>
      <c r="AB89">
        <f t="shared" si="32"/>
        <v>7893</v>
      </c>
      <c r="AC89">
        <f t="shared" si="33"/>
        <v>2090</v>
      </c>
      <c r="AD89">
        <f t="shared" si="38"/>
        <v>4368100</v>
      </c>
      <c r="AE89">
        <f t="shared" si="34"/>
        <v>4</v>
      </c>
      <c r="AF89">
        <f t="shared" si="39"/>
        <v>62299449</v>
      </c>
      <c r="AG89">
        <f t="shared" si="40"/>
        <v>19080297610000</v>
      </c>
      <c r="AH89">
        <f t="shared" si="41"/>
        <v>16</v>
      </c>
      <c r="AI89">
        <f t="shared" si="42"/>
        <v>16496370</v>
      </c>
      <c r="AJ89">
        <f t="shared" si="43"/>
        <v>34477413300</v>
      </c>
      <c r="AK89">
        <f t="shared" si="44"/>
        <v>31572</v>
      </c>
      <c r="AL89">
        <f t="shared" si="45"/>
        <v>9129329000</v>
      </c>
      <c r="AM89">
        <f t="shared" si="46"/>
        <v>8360</v>
      </c>
      <c r="AN89">
        <f t="shared" si="47"/>
        <v>17472400</v>
      </c>
      <c r="AO89">
        <f t="shared" si="35"/>
        <v>1.2150789660881731E+18</v>
      </c>
      <c r="AP89">
        <f t="shared" si="48"/>
        <v>3.2037142147234982E+17</v>
      </c>
      <c r="AQ89">
        <f t="shared" si="49"/>
        <v>-8.9470754461582323E+17</v>
      </c>
    </row>
    <row r="90" spans="2:43">
      <c r="B90">
        <v>295000</v>
      </c>
      <c r="C90">
        <v>1</v>
      </c>
      <c r="D90">
        <v>6056</v>
      </c>
      <c r="E90">
        <v>1837</v>
      </c>
      <c r="F90">
        <f t="shared" si="36"/>
        <v>3374569</v>
      </c>
      <c r="G90">
        <v>3</v>
      </c>
      <c r="H90">
        <f t="shared" si="29"/>
        <v>1677582465.7307928</v>
      </c>
      <c r="I90">
        <f t="shared" si="37"/>
        <v>2114016.8647984769</v>
      </c>
      <c r="Z90">
        <f t="shared" si="30"/>
        <v>1677582465.7307928</v>
      </c>
      <c r="AA90">
        <f t="shared" si="31"/>
        <v>1</v>
      </c>
      <c r="AB90">
        <f t="shared" si="32"/>
        <v>6056</v>
      </c>
      <c r="AC90">
        <f t="shared" si="33"/>
        <v>1837</v>
      </c>
      <c r="AD90">
        <f t="shared" si="38"/>
        <v>3374569</v>
      </c>
      <c r="AE90">
        <f t="shared" si="34"/>
        <v>3</v>
      </c>
      <c r="AF90">
        <f t="shared" si="39"/>
        <v>36675136</v>
      </c>
      <c r="AG90">
        <f t="shared" si="40"/>
        <v>11387715935761</v>
      </c>
      <c r="AH90">
        <f t="shared" si="41"/>
        <v>9</v>
      </c>
      <c r="AI90">
        <f t="shared" si="42"/>
        <v>11124872</v>
      </c>
      <c r="AJ90">
        <f t="shared" si="43"/>
        <v>20436389864</v>
      </c>
      <c r="AK90">
        <f t="shared" si="44"/>
        <v>18168</v>
      </c>
      <c r="AL90">
        <f t="shared" si="45"/>
        <v>6199083253</v>
      </c>
      <c r="AM90">
        <f t="shared" si="46"/>
        <v>5511</v>
      </c>
      <c r="AN90">
        <f t="shared" si="47"/>
        <v>10123707</v>
      </c>
      <c r="AO90">
        <f t="shared" si="35"/>
        <v>2829281026041366.5</v>
      </c>
      <c r="AP90">
        <f t="shared" si="48"/>
        <v>2.5404006367050363E+18</v>
      </c>
      <c r="AQ90">
        <f t="shared" si="49"/>
        <v>2.5375713556789949E+18</v>
      </c>
    </row>
    <row r="91" spans="2:43">
      <c r="B91">
        <v>242000</v>
      </c>
      <c r="C91">
        <v>1</v>
      </c>
      <c r="D91">
        <v>4950</v>
      </c>
      <c r="E91">
        <v>1774</v>
      </c>
      <c r="F91">
        <f t="shared" si="36"/>
        <v>3147076</v>
      </c>
      <c r="G91">
        <v>4</v>
      </c>
      <c r="H91">
        <f t="shared" si="29"/>
        <v>307629170.44736302</v>
      </c>
      <c r="I91">
        <f t="shared" si="37"/>
        <v>2656993630.5011649</v>
      </c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>
        <f t="shared" si="30"/>
        <v>307629170.44736302</v>
      </c>
      <c r="AA91">
        <f t="shared" si="31"/>
        <v>1</v>
      </c>
      <c r="AB91">
        <f t="shared" si="32"/>
        <v>4950</v>
      </c>
      <c r="AC91">
        <f t="shared" si="33"/>
        <v>1774</v>
      </c>
      <c r="AD91">
        <f t="shared" si="38"/>
        <v>3147076</v>
      </c>
      <c r="AE91">
        <f t="shared" si="34"/>
        <v>4</v>
      </c>
      <c r="AF91">
        <f t="shared" ref="AF91" si="50">AB91^2</f>
        <v>24502500</v>
      </c>
      <c r="AG91">
        <f t="shared" ref="AG91" si="51">AD91^2</f>
        <v>9904087349776</v>
      </c>
      <c r="AH91">
        <f t="shared" ref="AH91" si="52">AE91^2</f>
        <v>16</v>
      </c>
      <c r="AI91">
        <f t="shared" ref="AI91" si="53">AB91*AC91</f>
        <v>8781300</v>
      </c>
      <c r="AJ91">
        <f t="shared" ref="AJ91" si="54">AB91*AD91</f>
        <v>15578026200</v>
      </c>
      <c r="AK91">
        <f t="shared" ref="AK91" si="55">AB91*AE91</f>
        <v>19800</v>
      </c>
      <c r="AL91">
        <f t="shared" ref="AL91" si="56">AD91*AC91</f>
        <v>5582912824</v>
      </c>
      <c r="AM91">
        <f t="shared" ref="AM91" si="57">AC91*AE91</f>
        <v>7096</v>
      </c>
      <c r="AN91">
        <f t="shared" ref="AN91" si="58">AD91*AE91</f>
        <v>12588304</v>
      </c>
      <c r="AO91">
        <f t="shared" si="35"/>
        <v>4.8444516613247037E+18</v>
      </c>
      <c r="AP91">
        <f t="shared" si="48"/>
        <v>8.7842095870456719E+18</v>
      </c>
      <c r="AQ91">
        <f t="shared" si="49"/>
        <v>3.9397579257209682E+18</v>
      </c>
    </row>
    <row r="92" spans="2:43">
      <c r="H92" s="53">
        <f>SUM(H4:H91)</f>
        <v>287887238913.026</v>
      </c>
      <c r="I92" s="53">
        <f>SUM(I4:I91)</f>
        <v>917854508266.89832</v>
      </c>
      <c r="Z92" s="53">
        <f>SUM(Z4:Z91)</f>
        <v>287887238913.026</v>
      </c>
      <c r="AO92" s="53">
        <f>SUM(AO4:AO91)</f>
        <v>2.3394660059731554E+21</v>
      </c>
      <c r="AP92" s="53">
        <f>SUM(AP4:AP91)</f>
        <v>3.7820566299883827E+21</v>
      </c>
      <c r="AQ92" s="53">
        <f>AP92-AO92</f>
        <v>1.4425906240152273E+21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T98"/>
  <sheetViews>
    <sheetView topLeftCell="A2" workbookViewId="0">
      <selection activeCell="P10" sqref="P10"/>
    </sheetView>
  </sheetViews>
  <sheetFormatPr defaultRowHeight="15"/>
  <cols>
    <col min="7" max="7" width="10" bestFit="1" customWidth="1"/>
    <col min="9" max="9" width="10" bestFit="1" customWidth="1"/>
    <col min="15" max="15" width="12.5703125" bestFit="1" customWidth="1"/>
    <col min="16" max="16" width="12.140625" bestFit="1" customWidth="1"/>
    <col min="17" max="17" width="12.7109375" bestFit="1" customWidth="1"/>
    <col min="18" max="18" width="12.140625" bestFit="1" customWidth="1"/>
    <col min="19" max="19" width="12.7109375" bestFit="1" customWidth="1"/>
    <col min="20" max="20" width="12.140625" bestFit="1" customWidth="1"/>
  </cols>
  <sheetData>
    <row r="2" spans="2:20" ht="21">
      <c r="B2" s="70" t="s">
        <v>163</v>
      </c>
    </row>
    <row r="4" spans="2:20" ht="21.75">
      <c r="C4" s="74" t="s">
        <v>164</v>
      </c>
      <c r="D4" s="72" t="s">
        <v>165</v>
      </c>
      <c r="E4" s="72"/>
      <c r="G4" s="38" t="s">
        <v>168</v>
      </c>
      <c r="H4">
        <v>88</v>
      </c>
    </row>
    <row r="5" spans="2:20">
      <c r="G5" s="38" t="s">
        <v>169</v>
      </c>
      <c r="H5">
        <v>5</v>
      </c>
    </row>
    <row r="6" spans="2:20" ht="21.75">
      <c r="C6" s="73" t="s">
        <v>166</v>
      </c>
      <c r="D6" s="72" t="s">
        <v>167</v>
      </c>
    </row>
    <row r="8" spans="2:20" ht="20.25">
      <c r="C8" s="73" t="s">
        <v>166</v>
      </c>
      <c r="D8" s="72" t="s">
        <v>170</v>
      </c>
    </row>
    <row r="9" spans="2:20" ht="21">
      <c r="I9" s="46" t="s">
        <v>162</v>
      </c>
      <c r="P9" s="71"/>
      <c r="Q9" s="71"/>
    </row>
    <row r="10" spans="2:20" ht="17.25">
      <c r="B10" s="63" t="s">
        <v>92</v>
      </c>
      <c r="C10" s="63" t="s">
        <v>138</v>
      </c>
      <c r="D10" s="63" t="s">
        <v>139</v>
      </c>
      <c r="E10" s="63" t="s">
        <v>142</v>
      </c>
      <c r="F10" s="63" t="s">
        <v>141</v>
      </c>
      <c r="G10" s="63" t="s">
        <v>115</v>
      </c>
      <c r="I10" s="63" t="s">
        <v>92</v>
      </c>
      <c r="J10" s="63" t="s">
        <v>138</v>
      </c>
      <c r="K10" s="63" t="s">
        <v>139</v>
      </c>
      <c r="L10" s="63" t="s">
        <v>142</v>
      </c>
      <c r="M10" s="63" t="s">
        <v>141</v>
      </c>
      <c r="N10" s="37"/>
      <c r="P10" s="40">
        <f t="array" ref="P10:T14">H4/(H4-H5)*MMULT(TRANSPOSE(I11:M98),B11:F98)</f>
        <v>305229843666.82275</v>
      </c>
      <c r="Q10" s="50">
        <v>4573306521216422</v>
      </c>
      <c r="R10" s="50">
        <v>723195465828574</v>
      </c>
      <c r="S10" s="50">
        <v>1.9154595468167788E+18</v>
      </c>
      <c r="T10" s="41">
        <v>1222169226721.9636</v>
      </c>
    </row>
    <row r="11" spans="2:20">
      <c r="B11">
        <v>1</v>
      </c>
      <c r="C11">
        <v>5200</v>
      </c>
      <c r="D11">
        <v>1374</v>
      </c>
      <c r="E11">
        <f>D11^2</f>
        <v>1887876</v>
      </c>
      <c r="F11">
        <v>3</v>
      </c>
      <c r="G11">
        <f>'Ex7'!H4</f>
        <v>605562540.27684951</v>
      </c>
      <c r="I11">
        <f>B11*$G11</f>
        <v>605562540.27684951</v>
      </c>
      <c r="J11">
        <f t="shared" ref="J11:J74" si="0">C11*$G11</f>
        <v>3148925209439.6177</v>
      </c>
      <c r="K11">
        <f t="shared" ref="K11:K74" si="1">D11*$G11</f>
        <v>832042930340.39124</v>
      </c>
      <c r="L11">
        <f t="shared" ref="L11:L74" si="2">E11*$G11</f>
        <v>1143226986287697.5</v>
      </c>
      <c r="M11">
        <f t="shared" ref="M11:M74" si="3">F11*$G11</f>
        <v>1816687620.8305485</v>
      </c>
      <c r="P11" s="40">
        <v>4573306521216422</v>
      </c>
      <c r="Q11" s="50">
        <v>1.6648851011855758E+20</v>
      </c>
      <c r="R11" s="50">
        <v>1.1805646046739923E+19</v>
      </c>
      <c r="S11" s="50">
        <v>3.3691551139877672E+22</v>
      </c>
      <c r="T11" s="41">
        <v>1.9705264270315164E+16</v>
      </c>
    </row>
    <row r="12" spans="2:20" ht="18.75">
      <c r="B12">
        <v>1</v>
      </c>
      <c r="C12">
        <v>6000</v>
      </c>
      <c r="D12">
        <v>1767</v>
      </c>
      <c r="E12">
        <f t="shared" ref="E12:E75" si="4">D12^2</f>
        <v>3122289</v>
      </c>
      <c r="F12">
        <v>3</v>
      </c>
      <c r="G12">
        <f>'Ex7'!H5</f>
        <v>1732181733.7520821</v>
      </c>
      <c r="I12">
        <f t="shared" ref="I12:I75" si="5">B12*$G12</f>
        <v>1732181733.7520821</v>
      </c>
      <c r="J12">
        <f t="shared" si="0"/>
        <v>10393090402512.492</v>
      </c>
      <c r="K12">
        <f t="shared" si="1"/>
        <v>3060765123539.9292</v>
      </c>
      <c r="L12">
        <f t="shared" si="2"/>
        <v>5408371973295055</v>
      </c>
      <c r="M12">
        <f t="shared" si="3"/>
        <v>5196545201.2562466</v>
      </c>
      <c r="O12" s="73" t="s">
        <v>166</v>
      </c>
      <c r="P12" s="40">
        <v>723195465828574</v>
      </c>
      <c r="Q12" s="50">
        <v>1.1805646046739923E+19</v>
      </c>
      <c r="R12" s="50">
        <v>1.915459546816779E+18</v>
      </c>
      <c r="S12" s="50">
        <v>5.5667274519552385E+21</v>
      </c>
      <c r="T12" s="41">
        <v>3035494064870164</v>
      </c>
    </row>
    <row r="13" spans="2:20">
      <c r="B13">
        <v>1</v>
      </c>
      <c r="C13">
        <v>2892</v>
      </c>
      <c r="D13">
        <v>1890</v>
      </c>
      <c r="E13">
        <f t="shared" si="4"/>
        <v>3572100</v>
      </c>
      <c r="F13">
        <v>3</v>
      </c>
      <c r="G13">
        <f>'Ex7'!H6</f>
        <v>165105239.6529001</v>
      </c>
      <c r="I13">
        <f t="shared" si="5"/>
        <v>165105239.6529001</v>
      </c>
      <c r="J13">
        <f t="shared" si="0"/>
        <v>477484353076.18707</v>
      </c>
      <c r="K13">
        <f t="shared" si="1"/>
        <v>312048902943.9812</v>
      </c>
      <c r="L13">
        <f t="shared" si="2"/>
        <v>589772426564124.5</v>
      </c>
      <c r="M13">
        <f t="shared" si="3"/>
        <v>495315718.9587003</v>
      </c>
      <c r="P13" s="40">
        <v>1.9154595468167788E+18</v>
      </c>
      <c r="Q13" s="50">
        <v>3.3691551139877672E+22</v>
      </c>
      <c r="R13" s="50">
        <v>5.5667274519552385E+21</v>
      </c>
      <c r="S13" s="50">
        <v>1.7318121621557502E+25</v>
      </c>
      <c r="T13" s="41">
        <v>8.3730984089069107E+18</v>
      </c>
    </row>
    <row r="14" spans="2:20">
      <c r="B14">
        <v>1</v>
      </c>
      <c r="C14">
        <v>6460</v>
      </c>
      <c r="D14">
        <v>1899</v>
      </c>
      <c r="E14">
        <f t="shared" si="4"/>
        <v>3606201</v>
      </c>
      <c r="F14">
        <v>3</v>
      </c>
      <c r="G14">
        <f>'Ex7'!H7</f>
        <v>2366173142.7466183</v>
      </c>
      <c r="I14">
        <f t="shared" si="5"/>
        <v>2366173142.7466183</v>
      </c>
      <c r="J14">
        <f t="shared" si="0"/>
        <v>15285478502143.154</v>
      </c>
      <c r="K14">
        <f t="shared" si="1"/>
        <v>4493362798075.8281</v>
      </c>
      <c r="L14">
        <f t="shared" si="2"/>
        <v>8532895953545998</v>
      </c>
      <c r="M14">
        <f t="shared" si="3"/>
        <v>7098519428.2398548</v>
      </c>
      <c r="P14" s="40">
        <v>1222169226721.9636</v>
      </c>
      <c r="Q14" s="50">
        <v>1.9705264270315164E+16</v>
      </c>
      <c r="R14" s="50">
        <v>3035494064870163.5</v>
      </c>
      <c r="S14" s="50">
        <v>8.3730984089069107E+18</v>
      </c>
      <c r="T14" s="41">
        <v>5133905490398.3555</v>
      </c>
    </row>
    <row r="15" spans="2:20">
      <c r="B15">
        <v>1</v>
      </c>
      <c r="C15">
        <v>5922</v>
      </c>
      <c r="D15">
        <v>2000</v>
      </c>
      <c r="E15">
        <f t="shared" si="4"/>
        <v>4000000</v>
      </c>
      <c r="F15">
        <v>4</v>
      </c>
      <c r="G15">
        <f>'Ex7'!H8</f>
        <v>1837451414.970113</v>
      </c>
      <c r="I15">
        <f t="shared" si="5"/>
        <v>1837451414.970113</v>
      </c>
      <c r="J15">
        <f t="shared" si="0"/>
        <v>10881387279453.01</v>
      </c>
      <c r="K15">
        <f t="shared" si="1"/>
        <v>3674902829940.2261</v>
      </c>
      <c r="L15">
        <f t="shared" si="2"/>
        <v>7349805659880452</v>
      </c>
      <c r="M15">
        <f t="shared" si="3"/>
        <v>7349805659.8804522</v>
      </c>
    </row>
    <row r="16" spans="2:20">
      <c r="B16">
        <v>1</v>
      </c>
      <c r="C16">
        <v>6003</v>
      </c>
      <c r="D16">
        <v>1768</v>
      </c>
      <c r="E16">
        <f t="shared" si="4"/>
        <v>3125824</v>
      </c>
      <c r="F16">
        <v>3</v>
      </c>
      <c r="G16">
        <f>'Ex7'!H9</f>
        <v>515908467.79183418</v>
      </c>
      <c r="I16">
        <f t="shared" si="5"/>
        <v>515908467.79183418</v>
      </c>
      <c r="J16">
        <f t="shared" si="0"/>
        <v>3096998532154.3804</v>
      </c>
      <c r="K16">
        <f t="shared" si="1"/>
        <v>912126171055.96277</v>
      </c>
      <c r="L16">
        <f t="shared" si="2"/>
        <v>1612639070426942.2</v>
      </c>
      <c r="M16">
        <f t="shared" si="3"/>
        <v>1547725403.3755026</v>
      </c>
    </row>
    <row r="17" spans="2:20">
      <c r="B17">
        <v>1</v>
      </c>
      <c r="C17">
        <v>5218</v>
      </c>
      <c r="D17">
        <v>1732</v>
      </c>
      <c r="E17">
        <f t="shared" si="4"/>
        <v>2999824</v>
      </c>
      <c r="F17">
        <v>4</v>
      </c>
      <c r="G17">
        <f>'Ex7'!H10</f>
        <v>11317817713.078045</v>
      </c>
      <c r="I17">
        <f t="shared" si="5"/>
        <v>11317817713.078045</v>
      </c>
      <c r="J17">
        <f t="shared" si="0"/>
        <v>59056372826841.234</v>
      </c>
      <c r="K17">
        <f t="shared" si="1"/>
        <v>19602460279051.172</v>
      </c>
      <c r="L17">
        <f t="shared" si="2"/>
        <v>3.3951461203316632E+16</v>
      </c>
      <c r="M17">
        <f t="shared" si="3"/>
        <v>45271270852.31218</v>
      </c>
      <c r="P17" s="40">
        <f t="array" ref="P17:T21">MINVERSE('Ex7'!L4:P8)</f>
        <v>1.9336220059191602</v>
      </c>
      <c r="Q17" s="50">
        <v>-1.5551698829266117E-6</v>
      </c>
      <c r="R17" s="50">
        <v>-1.5420288973980317E-3</v>
      </c>
      <c r="S17" s="50">
        <v>3.1468133829094655E-7</v>
      </c>
      <c r="T17" s="41">
        <v>-5.1208991238466728E-2</v>
      </c>
    </row>
    <row r="18" spans="2:20">
      <c r="B18">
        <v>1</v>
      </c>
      <c r="C18">
        <v>6114</v>
      </c>
      <c r="D18">
        <v>1932</v>
      </c>
      <c r="E18">
        <f t="shared" si="4"/>
        <v>3732624</v>
      </c>
      <c r="F18">
        <v>3</v>
      </c>
      <c r="G18">
        <f>'Ex7'!H11</f>
        <v>140367199.23595107</v>
      </c>
      <c r="I18">
        <f t="shared" si="5"/>
        <v>140367199.23595107</v>
      </c>
      <c r="J18">
        <f t="shared" si="0"/>
        <v>858205056128.60486</v>
      </c>
      <c r="K18">
        <f t="shared" si="1"/>
        <v>271189428923.85745</v>
      </c>
      <c r="L18">
        <f t="shared" si="2"/>
        <v>523937976680892.62</v>
      </c>
      <c r="M18">
        <f t="shared" si="3"/>
        <v>421101597.7078532</v>
      </c>
      <c r="P18" s="40">
        <v>-1.5551698829266193E-6</v>
      </c>
      <c r="Q18" s="50">
        <v>1.1636307315964573E-10</v>
      </c>
      <c r="R18" s="50">
        <v>9.4989609726995697E-10</v>
      </c>
      <c r="S18" s="50">
        <v>-2.6396178373375467E-13</v>
      </c>
      <c r="T18" s="41">
        <v>-7.0039685766833134E-8</v>
      </c>
    </row>
    <row r="19" spans="2:20" ht="17.25">
      <c r="B19">
        <v>1</v>
      </c>
      <c r="C19">
        <v>6710</v>
      </c>
      <c r="D19">
        <v>1932</v>
      </c>
      <c r="E19">
        <f t="shared" si="4"/>
        <v>3732624</v>
      </c>
      <c r="F19">
        <v>3</v>
      </c>
      <c r="G19">
        <f>'Ex7'!H12</f>
        <v>1177246853.1991084</v>
      </c>
      <c r="I19">
        <f t="shared" si="5"/>
        <v>1177246853.1991084</v>
      </c>
      <c r="J19">
        <f t="shared" si="0"/>
        <v>7899326384966.0176</v>
      </c>
      <c r="K19">
        <f t="shared" si="1"/>
        <v>2274440920380.6772</v>
      </c>
      <c r="L19">
        <f t="shared" si="2"/>
        <v>4394219858175468.5</v>
      </c>
      <c r="M19">
        <f t="shared" si="3"/>
        <v>3531740559.5973253</v>
      </c>
      <c r="O19" s="38" t="s">
        <v>94</v>
      </c>
      <c r="P19" s="40">
        <v>-1.5420288973980395E-3</v>
      </c>
      <c r="Q19" s="50">
        <v>9.4989609726995966E-10</v>
      </c>
      <c r="R19" s="50">
        <v>1.3940228024923877E-6</v>
      </c>
      <c r="S19" s="50">
        <v>-2.8065914097662117E-10</v>
      </c>
      <c r="T19" s="41">
        <v>-1.2099295065840277E-5</v>
      </c>
    </row>
    <row r="20" spans="2:20">
      <c r="B20">
        <v>1</v>
      </c>
      <c r="C20">
        <v>15086</v>
      </c>
      <c r="D20">
        <v>2829</v>
      </c>
      <c r="E20">
        <f t="shared" si="4"/>
        <v>8003241</v>
      </c>
      <c r="F20">
        <v>4</v>
      </c>
      <c r="G20">
        <f>'Ex7'!H13</f>
        <v>4663897789.6536894</v>
      </c>
      <c r="I20">
        <f t="shared" si="5"/>
        <v>4663897789.6536894</v>
      </c>
      <c r="J20">
        <f t="shared" si="0"/>
        <v>70359562054715.555</v>
      </c>
      <c r="K20">
        <f t="shared" si="1"/>
        <v>13194166846930.287</v>
      </c>
      <c r="L20">
        <f t="shared" si="2"/>
        <v>3.7326298009965784E+16</v>
      </c>
      <c r="M20">
        <f t="shared" si="3"/>
        <v>18655591158.614758</v>
      </c>
      <c r="P20" s="40">
        <v>3.1468133829094792E-7</v>
      </c>
      <c r="Q20" s="50">
        <v>-2.6396178373375361E-13</v>
      </c>
      <c r="R20" s="50">
        <v>-2.8065914097662091E-10</v>
      </c>
      <c r="S20" s="50">
        <v>5.8561380451697888E-14</v>
      </c>
      <c r="T20" s="41">
        <v>-1.0905102348239682E-9</v>
      </c>
    </row>
    <row r="21" spans="2:20">
      <c r="B21">
        <v>1</v>
      </c>
      <c r="C21">
        <v>3500</v>
      </c>
      <c r="D21">
        <v>1702</v>
      </c>
      <c r="E21">
        <f t="shared" si="4"/>
        <v>2896804</v>
      </c>
      <c r="F21">
        <v>4</v>
      </c>
      <c r="G21">
        <f>'Ex7'!H14</f>
        <v>3657750757.0079279</v>
      </c>
      <c r="I21">
        <f t="shared" si="5"/>
        <v>3657750757.0079279</v>
      </c>
      <c r="J21">
        <f t="shared" si="0"/>
        <v>12802127649527.748</v>
      </c>
      <c r="K21">
        <f t="shared" si="1"/>
        <v>6225491788427.4932</v>
      </c>
      <c r="L21">
        <f t="shared" si="2"/>
        <v>1.0595787023903594E+16</v>
      </c>
      <c r="M21">
        <f t="shared" si="3"/>
        <v>14631003028.031712</v>
      </c>
      <c r="P21" s="40">
        <v>-5.1208991238463772E-2</v>
      </c>
      <c r="Q21" s="50">
        <v>-7.0039685766835543E-8</v>
      </c>
      <c r="R21" s="50">
        <v>-1.2099295065842867E-5</v>
      </c>
      <c r="S21" s="50">
        <v>-1.0905102348234458E-9</v>
      </c>
      <c r="T21" s="41">
        <v>2.2696757777711379E-2</v>
      </c>
    </row>
    <row r="22" spans="2:20">
      <c r="B22">
        <v>1</v>
      </c>
      <c r="C22">
        <v>8880</v>
      </c>
      <c r="D22">
        <v>1421</v>
      </c>
      <c r="E22">
        <f t="shared" si="4"/>
        <v>2019241</v>
      </c>
      <c r="F22">
        <v>2</v>
      </c>
      <c r="G22">
        <f>'Ex7'!H15</f>
        <v>153337446.74698278</v>
      </c>
      <c r="I22">
        <f t="shared" si="5"/>
        <v>153337446.74698278</v>
      </c>
      <c r="J22">
        <f t="shared" si="0"/>
        <v>1361636527113.207</v>
      </c>
      <c r="K22">
        <f t="shared" si="1"/>
        <v>217892511827.46252</v>
      </c>
      <c r="L22">
        <f t="shared" si="2"/>
        <v>309625259306824.25</v>
      </c>
      <c r="M22">
        <f t="shared" si="3"/>
        <v>306674893.49396557</v>
      </c>
    </row>
    <row r="23" spans="2:20">
      <c r="B23">
        <v>1</v>
      </c>
      <c r="C23">
        <v>5305</v>
      </c>
      <c r="D23">
        <v>1171</v>
      </c>
      <c r="E23">
        <f t="shared" si="4"/>
        <v>1371241</v>
      </c>
      <c r="F23">
        <v>3</v>
      </c>
      <c r="G23">
        <f>'Ex7'!H16</f>
        <v>707677605.4705584</v>
      </c>
      <c r="I23">
        <f t="shared" si="5"/>
        <v>707677605.4705584</v>
      </c>
      <c r="J23">
        <f t="shared" si="0"/>
        <v>3754229697021.3125</v>
      </c>
      <c r="K23">
        <f t="shared" si="1"/>
        <v>828690476006.02393</v>
      </c>
      <c r="L23">
        <f t="shared" si="2"/>
        <v>970396547403054</v>
      </c>
      <c r="M23">
        <f t="shared" si="3"/>
        <v>2123032816.4116752</v>
      </c>
    </row>
    <row r="24" spans="2:20">
      <c r="B24">
        <v>1</v>
      </c>
      <c r="C24">
        <v>1000</v>
      </c>
      <c r="D24">
        <v>2768</v>
      </c>
      <c r="E24">
        <f t="shared" si="4"/>
        <v>7661824</v>
      </c>
      <c r="F24">
        <v>3</v>
      </c>
      <c r="G24">
        <f>'Ex7'!H17</f>
        <v>1659013191.5298469</v>
      </c>
      <c r="I24">
        <f t="shared" si="5"/>
        <v>1659013191.5298469</v>
      </c>
      <c r="J24">
        <f t="shared" si="0"/>
        <v>1659013191529.8469</v>
      </c>
      <c r="K24">
        <f t="shared" si="1"/>
        <v>4592148514154.6162</v>
      </c>
      <c r="L24">
        <f t="shared" si="2"/>
        <v>1.2711067087179978E+16</v>
      </c>
      <c r="M24">
        <f t="shared" si="3"/>
        <v>4977039574.5895405</v>
      </c>
      <c r="O24" s="50"/>
      <c r="P24" s="50"/>
      <c r="Q24" s="50"/>
      <c r="R24" s="50"/>
      <c r="S24" s="50"/>
      <c r="T24" s="50"/>
    </row>
    <row r="25" spans="2:20">
      <c r="B25">
        <v>1</v>
      </c>
      <c r="C25">
        <v>8112</v>
      </c>
      <c r="D25">
        <v>3733</v>
      </c>
      <c r="E25">
        <f t="shared" si="4"/>
        <v>13935289</v>
      </c>
      <c r="F25">
        <v>4</v>
      </c>
      <c r="G25">
        <f>'Ex7'!H18</f>
        <v>16149924068.719105</v>
      </c>
      <c r="I25">
        <f t="shared" si="5"/>
        <v>16149924068.719105</v>
      </c>
      <c r="J25">
        <f t="shared" si="0"/>
        <v>131008184045449.37</v>
      </c>
      <c r="K25">
        <f t="shared" si="1"/>
        <v>60287666548528.422</v>
      </c>
      <c r="L25">
        <f t="shared" si="2"/>
        <v>2.2505385922565658E+17</v>
      </c>
      <c r="M25">
        <f t="shared" si="3"/>
        <v>64599696274.876419</v>
      </c>
      <c r="P25" s="30">
        <f t="array" ref="P25:T29">MMULT(MMULT(P17:T21,P10:T14),P17:T21)</f>
        <v>7301427480.4262695</v>
      </c>
      <c r="Q25" s="50">
        <v>-19205.1399643974</v>
      </c>
      <c r="R25" s="50">
        <v>-5972499.1530156145</v>
      </c>
      <c r="S25" s="50">
        <v>1336.3767601609109</v>
      </c>
      <c r="T25" s="41">
        <v>-243486013.04734218</v>
      </c>
    </row>
    <row r="26" spans="2:20">
      <c r="B26">
        <v>1</v>
      </c>
      <c r="C26">
        <v>15267</v>
      </c>
      <c r="D26">
        <v>1478</v>
      </c>
      <c r="E26">
        <f t="shared" si="4"/>
        <v>2184484</v>
      </c>
      <c r="F26">
        <v>2</v>
      </c>
      <c r="G26">
        <f>'Ex7'!H19</f>
        <v>672196351.4084301</v>
      </c>
      <c r="I26">
        <f t="shared" si="5"/>
        <v>672196351.4084301</v>
      </c>
      <c r="J26">
        <f t="shared" si="0"/>
        <v>10262421696952.502</v>
      </c>
      <c r="K26">
        <f t="shared" si="1"/>
        <v>993506207381.65967</v>
      </c>
      <c r="L26">
        <f t="shared" si="2"/>
        <v>1468402174510093</v>
      </c>
      <c r="M26">
        <f t="shared" si="3"/>
        <v>1344392702.8168602</v>
      </c>
      <c r="P26" s="40">
        <v>-19205.139964397262</v>
      </c>
      <c r="Q26" s="30">
        <v>1.3327211928911826</v>
      </c>
      <c r="R26" s="50">
        <v>5.7782613693582601</v>
      </c>
      <c r="S26" s="50">
        <v>-1.7620783008741266E-3</v>
      </c>
      <c r="T26" s="41">
        <v>1405.5687657500039</v>
      </c>
    </row>
    <row r="27" spans="2:20" ht="20.25">
      <c r="B27">
        <v>1</v>
      </c>
      <c r="C27">
        <v>5539</v>
      </c>
      <c r="D27">
        <v>2343</v>
      </c>
      <c r="E27">
        <f t="shared" si="4"/>
        <v>5489649</v>
      </c>
      <c r="F27">
        <v>4</v>
      </c>
      <c r="G27">
        <f>'Ex7'!H20</f>
        <v>16048139.391347032</v>
      </c>
      <c r="I27">
        <f t="shared" si="5"/>
        <v>16048139.391347032</v>
      </c>
      <c r="J27">
        <f t="shared" si="0"/>
        <v>88890644088.671204</v>
      </c>
      <c r="K27">
        <f t="shared" si="1"/>
        <v>37600790593.926094</v>
      </c>
      <c r="L27">
        <f t="shared" si="2"/>
        <v>88098652361568.844</v>
      </c>
      <c r="M27">
        <f t="shared" si="3"/>
        <v>64192557.565388128</v>
      </c>
      <c r="O27" s="74" t="s">
        <v>164</v>
      </c>
      <c r="P27" s="40">
        <v>-5972499.1530156881</v>
      </c>
      <c r="Q27" s="50">
        <v>5.778261369358523</v>
      </c>
      <c r="R27" s="30">
        <v>5526.0677101906731</v>
      </c>
      <c r="S27" s="50">
        <v>-1.2374187582596572</v>
      </c>
      <c r="T27" s="41">
        <v>27425.135851819767</v>
      </c>
    </row>
    <row r="28" spans="2:20">
      <c r="B28">
        <v>1</v>
      </c>
      <c r="C28">
        <v>7566</v>
      </c>
      <c r="D28">
        <v>1567</v>
      </c>
      <c r="E28">
        <f t="shared" si="4"/>
        <v>2455489</v>
      </c>
      <c r="F28">
        <v>3</v>
      </c>
      <c r="G28">
        <f>'Ex7'!H21</f>
        <v>82926931.655705795</v>
      </c>
      <c r="I28">
        <f t="shared" si="5"/>
        <v>82926931.655705795</v>
      </c>
      <c r="J28">
        <f t="shared" si="0"/>
        <v>627425164907.07007</v>
      </c>
      <c r="K28">
        <f t="shared" si="1"/>
        <v>129946501904.49098</v>
      </c>
      <c r="L28">
        <f t="shared" si="2"/>
        <v>203626168484337.37</v>
      </c>
      <c r="M28">
        <f t="shared" si="3"/>
        <v>248780794.96711737</v>
      </c>
      <c r="P28" s="40">
        <v>1336.376760160897</v>
      </c>
      <c r="Q28" s="50">
        <v>-1.7620783008740711E-3</v>
      </c>
      <c r="R28" s="50">
        <v>-1.2374187582596339</v>
      </c>
      <c r="S28" s="30">
        <v>2.9031336341367355E-4</v>
      </c>
      <c r="T28" s="41">
        <v>-19.82126079692955</v>
      </c>
    </row>
    <row r="29" spans="2:20">
      <c r="B29">
        <v>1</v>
      </c>
      <c r="C29">
        <v>10859</v>
      </c>
      <c r="D29">
        <v>2709</v>
      </c>
      <c r="E29">
        <f t="shared" si="4"/>
        <v>7338681</v>
      </c>
      <c r="F29">
        <v>4</v>
      </c>
      <c r="G29">
        <f>'Ex7'!H22</f>
        <v>2797243322.3740158</v>
      </c>
      <c r="I29">
        <f t="shared" si="5"/>
        <v>2797243322.3740158</v>
      </c>
      <c r="J29">
        <f t="shared" si="0"/>
        <v>30375265237659.437</v>
      </c>
      <c r="K29">
        <f t="shared" si="1"/>
        <v>7577732160311.209</v>
      </c>
      <c r="L29">
        <f t="shared" si="2"/>
        <v>2.0528076422283064E+16</v>
      </c>
      <c r="M29">
        <f t="shared" si="3"/>
        <v>11188973289.496063</v>
      </c>
      <c r="P29" s="40">
        <v>-243486013.04729956</v>
      </c>
      <c r="Q29" s="50">
        <v>1405.5687657499868</v>
      </c>
      <c r="R29" s="50">
        <v>27425.135851787592</v>
      </c>
      <c r="S29" s="50">
        <v>-19.82126079692414</v>
      </c>
      <c r="T29" s="30">
        <v>76586466.567836121</v>
      </c>
    </row>
    <row r="30" spans="2:20">
      <c r="B30">
        <v>1</v>
      </c>
      <c r="C30">
        <v>11554</v>
      </c>
      <c r="D30">
        <v>1694</v>
      </c>
      <c r="E30">
        <f t="shared" si="4"/>
        <v>2869636</v>
      </c>
      <c r="F30">
        <v>3</v>
      </c>
      <c r="G30">
        <f>'Ex7'!H23</f>
        <v>1377853499.0998125</v>
      </c>
      <c r="I30">
        <f t="shared" si="5"/>
        <v>1377853499.0998125</v>
      </c>
      <c r="J30">
        <f t="shared" si="0"/>
        <v>15919719328599.234</v>
      </c>
      <c r="K30">
        <f t="shared" si="1"/>
        <v>2334083827475.0825</v>
      </c>
      <c r="L30">
        <f t="shared" si="2"/>
        <v>3953938003742789.5</v>
      </c>
      <c r="M30">
        <f t="shared" si="3"/>
        <v>4133560497.2994375</v>
      </c>
    </row>
    <row r="31" spans="2:20">
      <c r="B31">
        <v>1</v>
      </c>
      <c r="C31">
        <v>31000</v>
      </c>
      <c r="D31">
        <v>3662</v>
      </c>
      <c r="E31">
        <f t="shared" si="4"/>
        <v>13410244</v>
      </c>
      <c r="F31">
        <v>5</v>
      </c>
      <c r="G31">
        <f>'Ex7'!H24</f>
        <v>18594563882.585388</v>
      </c>
      <c r="I31">
        <f t="shared" si="5"/>
        <v>18594563882.585388</v>
      </c>
      <c r="J31">
        <f t="shared" si="0"/>
        <v>576431480360147</v>
      </c>
      <c r="K31">
        <f t="shared" si="1"/>
        <v>68093292938027.695</v>
      </c>
      <c r="L31">
        <f t="shared" si="2"/>
        <v>2.4935763873905741E+17</v>
      </c>
      <c r="M31">
        <f t="shared" si="3"/>
        <v>92972819412.926941</v>
      </c>
    </row>
    <row r="32" spans="2:20">
      <c r="B32">
        <v>1</v>
      </c>
      <c r="C32">
        <v>20700</v>
      </c>
      <c r="D32">
        <v>2205</v>
      </c>
      <c r="E32">
        <f t="shared" si="4"/>
        <v>4862025</v>
      </c>
      <c r="F32">
        <v>2</v>
      </c>
      <c r="G32">
        <f>'Ex7'!H25</f>
        <v>606679.28650271602</v>
      </c>
      <c r="I32">
        <f t="shared" si="5"/>
        <v>606679.28650271602</v>
      </c>
      <c r="J32">
        <f t="shared" si="0"/>
        <v>12558261230.606222</v>
      </c>
      <c r="K32">
        <f t="shared" si="1"/>
        <v>1337727826.7384889</v>
      </c>
      <c r="L32">
        <f t="shared" si="2"/>
        <v>2949689857958.3677</v>
      </c>
      <c r="M32">
        <f t="shared" si="3"/>
        <v>1213358.573005432</v>
      </c>
      <c r="P32" s="75" t="s">
        <v>171</v>
      </c>
      <c r="Q32" s="63" t="s">
        <v>172</v>
      </c>
      <c r="R32" s="63" t="s">
        <v>173</v>
      </c>
    </row>
    <row r="33" spans="2:18">
      <c r="B33">
        <v>1</v>
      </c>
      <c r="C33">
        <v>5525</v>
      </c>
      <c r="D33">
        <v>1502</v>
      </c>
      <c r="E33">
        <f t="shared" si="4"/>
        <v>2256004</v>
      </c>
      <c r="F33">
        <v>3</v>
      </c>
      <c r="G33">
        <f>'Ex7'!H26</f>
        <v>39908241406.727409</v>
      </c>
      <c r="I33">
        <f t="shared" si="5"/>
        <v>39908241406.727409</v>
      </c>
      <c r="J33">
        <f t="shared" si="0"/>
        <v>220493033772168.94</v>
      </c>
      <c r="K33">
        <f t="shared" si="1"/>
        <v>59942178592904.57</v>
      </c>
      <c r="L33">
        <f t="shared" si="2"/>
        <v>9.0033152246542656E+16</v>
      </c>
      <c r="M33">
        <f t="shared" si="3"/>
        <v>119724724220.18222</v>
      </c>
      <c r="P33">
        <f>'Ex7'!L22</f>
        <v>125559.21711787488</v>
      </c>
      <c r="Q33">
        <f>P25^0.5</f>
        <v>85448.390742168282</v>
      </c>
      <c r="R33">
        <f>P33/Q33</f>
        <v>1.4694158196230622</v>
      </c>
    </row>
    <row r="34" spans="2:18">
      <c r="B34">
        <v>1</v>
      </c>
      <c r="C34">
        <v>18838</v>
      </c>
      <c r="D34">
        <v>1294</v>
      </c>
      <c r="E34">
        <f t="shared" si="4"/>
        <v>1674436</v>
      </c>
      <c r="F34">
        <v>3</v>
      </c>
      <c r="G34">
        <f>'Ex7'!H27</f>
        <v>143039707.70355329</v>
      </c>
      <c r="I34">
        <f t="shared" si="5"/>
        <v>143039707.70355329</v>
      </c>
      <c r="J34">
        <f t="shared" si="0"/>
        <v>2694582013719.5366</v>
      </c>
      <c r="K34">
        <f t="shared" si="1"/>
        <v>185093381768.39795</v>
      </c>
      <c r="L34">
        <f t="shared" si="2"/>
        <v>239510836008306.97</v>
      </c>
      <c r="M34">
        <f t="shared" si="3"/>
        <v>429119123.11065984</v>
      </c>
      <c r="P34">
        <f>'Ex7'!L23</f>
        <v>1.94412328237288</v>
      </c>
      <c r="Q34">
        <f>Q26^0.5</f>
        <v>1.1544354433623314</v>
      </c>
      <c r="R34">
        <f t="shared" ref="R34:R37" si="6">P34/Q34</f>
        <v>1.6840467724297832</v>
      </c>
    </row>
    <row r="35" spans="2:18">
      <c r="B35">
        <v>1</v>
      </c>
      <c r="C35">
        <v>5828</v>
      </c>
      <c r="D35">
        <v>1715</v>
      </c>
      <c r="E35">
        <f t="shared" si="4"/>
        <v>2941225</v>
      </c>
      <c r="F35">
        <v>3</v>
      </c>
      <c r="G35">
        <f>'Ex7'!H28</f>
        <v>45821066.035999939</v>
      </c>
      <c r="I35">
        <f t="shared" si="5"/>
        <v>45821066.035999939</v>
      </c>
      <c r="J35">
        <f t="shared" si="0"/>
        <v>267045172857.80765</v>
      </c>
      <c r="K35">
        <f t="shared" si="1"/>
        <v>78583128251.739899</v>
      </c>
      <c r="L35">
        <f t="shared" si="2"/>
        <v>134770064951733.92</v>
      </c>
      <c r="M35">
        <f t="shared" si="3"/>
        <v>137463198.1079998</v>
      </c>
      <c r="P35">
        <f>'Ex7'!L24</f>
        <v>-8.6226101166291755</v>
      </c>
      <c r="Q35">
        <f>R27^0.5</f>
        <v>74.337525585606315</v>
      </c>
      <c r="R35">
        <f t="shared" si="6"/>
        <v>-0.11599269747954508</v>
      </c>
    </row>
    <row r="36" spans="2:18">
      <c r="B36">
        <v>1</v>
      </c>
      <c r="C36">
        <v>6341</v>
      </c>
      <c r="D36">
        <v>1574</v>
      </c>
      <c r="E36">
        <f t="shared" si="4"/>
        <v>2477476</v>
      </c>
      <c r="F36">
        <v>3</v>
      </c>
      <c r="G36">
        <f>'Ex7'!H29</f>
        <v>886094826.07714343</v>
      </c>
      <c r="I36">
        <f t="shared" si="5"/>
        <v>886094826.07714343</v>
      </c>
      <c r="J36">
        <f t="shared" si="0"/>
        <v>5618727292155.166</v>
      </c>
      <c r="K36">
        <f t="shared" si="1"/>
        <v>1394713256245.4238</v>
      </c>
      <c r="L36">
        <f t="shared" si="2"/>
        <v>2195278665330297</v>
      </c>
      <c r="M36">
        <f t="shared" si="3"/>
        <v>2658284478.2314301</v>
      </c>
      <c r="P36">
        <f>'Ex7'!L25</f>
        <v>2.7417642413770496E-2</v>
      </c>
      <c r="Q36">
        <f>S28^0.5</f>
        <v>1.7038584548420492E-2</v>
      </c>
      <c r="R36">
        <f t="shared" si="6"/>
        <v>1.6091502399072324</v>
      </c>
    </row>
    <row r="37" spans="2:18">
      <c r="B37">
        <v>1</v>
      </c>
      <c r="C37">
        <v>6362</v>
      </c>
      <c r="D37">
        <v>1185</v>
      </c>
      <c r="E37">
        <f t="shared" si="4"/>
        <v>1404225</v>
      </c>
      <c r="F37">
        <v>2</v>
      </c>
      <c r="G37">
        <f>'Ex7'!H30</f>
        <v>681502614.74055362</v>
      </c>
      <c r="I37">
        <f t="shared" si="5"/>
        <v>681502614.74055362</v>
      </c>
      <c r="J37">
        <f t="shared" si="0"/>
        <v>4335719634979.4023</v>
      </c>
      <c r="K37">
        <f t="shared" si="1"/>
        <v>807580598467.55603</v>
      </c>
      <c r="L37">
        <f t="shared" si="2"/>
        <v>956983009184053.87</v>
      </c>
      <c r="M37">
        <f t="shared" si="3"/>
        <v>1363005229.4811072</v>
      </c>
      <c r="P37">
        <f>'Ex7'!L26</f>
        <v>13341.959792437963</v>
      </c>
      <c r="Q37">
        <f>T29^0.5</f>
        <v>8751.3694110028355</v>
      </c>
      <c r="R37">
        <f t="shared" si="6"/>
        <v>1.5245568054370457</v>
      </c>
    </row>
    <row r="38" spans="2:18">
      <c r="B38">
        <v>1</v>
      </c>
      <c r="C38">
        <v>6126</v>
      </c>
      <c r="D38">
        <v>2438</v>
      </c>
      <c r="E38">
        <f t="shared" si="4"/>
        <v>5943844</v>
      </c>
      <c r="F38">
        <v>4</v>
      </c>
      <c r="G38">
        <f>'Ex7'!H31</f>
        <v>1074595364.4426813</v>
      </c>
      <c r="I38">
        <f t="shared" si="5"/>
        <v>1074595364.4426813</v>
      </c>
      <c r="J38">
        <f t="shared" si="0"/>
        <v>6582971202575.8652</v>
      </c>
      <c r="K38">
        <f t="shared" si="1"/>
        <v>2619863498511.2568</v>
      </c>
      <c r="L38">
        <f t="shared" si="2"/>
        <v>6387227209370445</v>
      </c>
      <c r="M38">
        <f t="shared" si="3"/>
        <v>4298381457.7707253</v>
      </c>
    </row>
    <row r="39" spans="2:18">
      <c r="B39">
        <v>1</v>
      </c>
      <c r="C39">
        <v>9903</v>
      </c>
      <c r="D39">
        <v>2076</v>
      </c>
      <c r="E39">
        <f t="shared" si="4"/>
        <v>4309776</v>
      </c>
      <c r="F39">
        <v>3</v>
      </c>
      <c r="G39">
        <f>'Ex7'!H32</f>
        <v>7207821861.1542397</v>
      </c>
      <c r="I39">
        <f t="shared" si="5"/>
        <v>7207821861.1542397</v>
      </c>
      <c r="J39">
        <f t="shared" si="0"/>
        <v>71379059891010.437</v>
      </c>
      <c r="K39">
        <f t="shared" si="1"/>
        <v>14963438183756.201</v>
      </c>
      <c r="L39">
        <f t="shared" si="2"/>
        <v>3.1064097669477876E+16</v>
      </c>
      <c r="M39">
        <f t="shared" si="3"/>
        <v>21623465583.462719</v>
      </c>
    </row>
    <row r="40" spans="2:18">
      <c r="B40">
        <v>1</v>
      </c>
      <c r="C40">
        <v>4600</v>
      </c>
      <c r="D40">
        <v>1448</v>
      </c>
      <c r="E40">
        <f t="shared" si="4"/>
        <v>2096704</v>
      </c>
      <c r="F40">
        <v>3</v>
      </c>
      <c r="G40">
        <f>'Ex7'!H33</f>
        <v>601681881.48505735</v>
      </c>
      <c r="I40">
        <f t="shared" si="5"/>
        <v>601681881.48505735</v>
      </c>
      <c r="J40">
        <f t="shared" si="0"/>
        <v>2767736654831.2637</v>
      </c>
      <c r="K40">
        <f t="shared" si="1"/>
        <v>871235364390.36304</v>
      </c>
      <c r="L40">
        <f t="shared" si="2"/>
        <v>1261548807637245.7</v>
      </c>
      <c r="M40">
        <f t="shared" si="3"/>
        <v>1805045644.4551721</v>
      </c>
    </row>
    <row r="41" spans="2:18">
      <c r="B41">
        <v>1</v>
      </c>
      <c r="C41">
        <v>6095</v>
      </c>
      <c r="D41">
        <v>2514</v>
      </c>
      <c r="E41">
        <f t="shared" si="4"/>
        <v>6320196</v>
      </c>
      <c r="F41">
        <v>4</v>
      </c>
      <c r="G41">
        <f>'Ex7'!H34</f>
        <v>937332122.04790485</v>
      </c>
      <c r="I41">
        <f t="shared" si="5"/>
        <v>937332122.04790485</v>
      </c>
      <c r="J41">
        <f t="shared" si="0"/>
        <v>5713039283881.9805</v>
      </c>
      <c r="K41">
        <f t="shared" si="1"/>
        <v>2356452954828.4326</v>
      </c>
      <c r="L41">
        <f t="shared" si="2"/>
        <v>5924122728438680</v>
      </c>
      <c r="M41">
        <f t="shared" si="3"/>
        <v>3749328488.1916194</v>
      </c>
    </row>
    <row r="42" spans="2:18">
      <c r="B42">
        <v>1</v>
      </c>
      <c r="C42">
        <v>8566</v>
      </c>
      <c r="D42">
        <v>2754</v>
      </c>
      <c r="E42">
        <f t="shared" si="4"/>
        <v>7584516</v>
      </c>
      <c r="F42">
        <v>5</v>
      </c>
      <c r="G42">
        <f>'Ex7'!H35</f>
        <v>5350885131.3592167</v>
      </c>
      <c r="I42">
        <f t="shared" si="5"/>
        <v>5350885131.3592167</v>
      </c>
      <c r="J42">
        <f t="shared" si="0"/>
        <v>45835682035223.047</v>
      </c>
      <c r="K42">
        <f t="shared" si="1"/>
        <v>14736337651763.283</v>
      </c>
      <c r="L42">
        <f t="shared" si="2"/>
        <v>4.058387389295608E+16</v>
      </c>
      <c r="M42">
        <f t="shared" si="3"/>
        <v>26754425656.796082</v>
      </c>
    </row>
    <row r="43" spans="2:18">
      <c r="B43">
        <v>1</v>
      </c>
      <c r="C43">
        <v>9000</v>
      </c>
      <c r="D43">
        <v>2067</v>
      </c>
      <c r="E43">
        <f t="shared" si="4"/>
        <v>4272489</v>
      </c>
      <c r="F43">
        <v>3</v>
      </c>
      <c r="G43">
        <f>'Ex7'!H36</f>
        <v>2509925176.9837799</v>
      </c>
      <c r="I43">
        <f t="shared" si="5"/>
        <v>2509925176.9837799</v>
      </c>
      <c r="J43">
        <f t="shared" si="0"/>
        <v>22589326592854.02</v>
      </c>
      <c r="K43">
        <f t="shared" si="1"/>
        <v>5188015340825.4727</v>
      </c>
      <c r="L43">
        <f t="shared" si="2"/>
        <v>1.0723627709486252E+16</v>
      </c>
      <c r="M43">
        <f t="shared" si="3"/>
        <v>7529775530.9513397</v>
      </c>
    </row>
    <row r="44" spans="2:18">
      <c r="B44">
        <v>1</v>
      </c>
      <c r="C44">
        <v>6210</v>
      </c>
      <c r="D44">
        <v>1731</v>
      </c>
      <c r="E44">
        <f t="shared" si="4"/>
        <v>2996361</v>
      </c>
      <c r="F44">
        <v>3</v>
      </c>
      <c r="G44">
        <f>'Ex7'!H37</f>
        <v>4916040528.9980564</v>
      </c>
      <c r="I44">
        <f t="shared" si="5"/>
        <v>4916040528.9980564</v>
      </c>
      <c r="J44">
        <f t="shared" si="0"/>
        <v>30528611685077.93</v>
      </c>
      <c r="K44">
        <f t="shared" si="1"/>
        <v>8509666155695.6357</v>
      </c>
      <c r="L44">
        <f t="shared" si="2"/>
        <v>1.4730232115509146E+16</v>
      </c>
      <c r="M44">
        <f t="shared" si="3"/>
        <v>14748121586.994169</v>
      </c>
    </row>
    <row r="45" spans="2:18">
      <c r="B45">
        <v>1</v>
      </c>
      <c r="C45">
        <v>6000</v>
      </c>
      <c r="D45">
        <v>2336</v>
      </c>
      <c r="E45">
        <f t="shared" si="4"/>
        <v>5456896</v>
      </c>
      <c r="F45">
        <v>4</v>
      </c>
      <c r="G45">
        <f>'Ex7'!H38</f>
        <v>1229526311.0727794</v>
      </c>
      <c r="I45">
        <f t="shared" si="5"/>
        <v>1229526311.0727794</v>
      </c>
      <c r="J45">
        <f t="shared" si="0"/>
        <v>7377157866436.6768</v>
      </c>
      <c r="K45">
        <f t="shared" si="1"/>
        <v>2872173462666.0127</v>
      </c>
      <c r="L45">
        <f t="shared" si="2"/>
        <v>6709397208787806</v>
      </c>
      <c r="M45">
        <f t="shared" si="3"/>
        <v>4918105244.2911177</v>
      </c>
    </row>
    <row r="46" spans="2:18">
      <c r="B46">
        <v>1</v>
      </c>
      <c r="C46">
        <v>7047</v>
      </c>
      <c r="D46">
        <v>2634</v>
      </c>
      <c r="E46">
        <f t="shared" si="4"/>
        <v>6937956</v>
      </c>
      <c r="F46">
        <v>5</v>
      </c>
      <c r="G46">
        <f>'Ex7'!H39</f>
        <v>5399265502.9637032</v>
      </c>
      <c r="I46">
        <f t="shared" si="5"/>
        <v>5399265502.9637032</v>
      </c>
      <c r="J46">
        <f t="shared" si="0"/>
        <v>38048623999385.219</v>
      </c>
      <c r="K46">
        <f t="shared" si="1"/>
        <v>14221665334806.395</v>
      </c>
      <c r="L46">
        <f t="shared" si="2"/>
        <v>3.745986649188004E+16</v>
      </c>
      <c r="M46">
        <f t="shared" si="3"/>
        <v>26996327514.818516</v>
      </c>
    </row>
    <row r="47" spans="2:18">
      <c r="B47">
        <v>1</v>
      </c>
      <c r="C47">
        <v>12237</v>
      </c>
      <c r="D47">
        <v>3375</v>
      </c>
      <c r="E47">
        <f t="shared" si="4"/>
        <v>11390625</v>
      </c>
      <c r="F47">
        <v>3</v>
      </c>
      <c r="G47">
        <f>'Ex7'!H40</f>
        <v>4566800556.1532936</v>
      </c>
      <c r="I47">
        <f t="shared" si="5"/>
        <v>4566800556.1532936</v>
      </c>
      <c r="J47">
        <f t="shared" si="0"/>
        <v>55883938405647.852</v>
      </c>
      <c r="K47">
        <f t="shared" si="1"/>
        <v>15412951877017.365</v>
      </c>
      <c r="L47">
        <f t="shared" si="2"/>
        <v>5.2018712584933608E+16</v>
      </c>
      <c r="M47">
        <f t="shared" si="3"/>
        <v>13700401668.459881</v>
      </c>
    </row>
    <row r="48" spans="2:18">
      <c r="B48">
        <v>1</v>
      </c>
      <c r="C48">
        <v>6519</v>
      </c>
      <c r="D48">
        <v>2312</v>
      </c>
      <c r="E48">
        <f t="shared" si="4"/>
        <v>5345344</v>
      </c>
      <c r="F48">
        <v>3</v>
      </c>
      <c r="G48">
        <f>'Ex7'!H41</f>
        <v>1590421734.253479</v>
      </c>
      <c r="I48">
        <f t="shared" si="5"/>
        <v>1590421734.253479</v>
      </c>
      <c r="J48">
        <f t="shared" si="0"/>
        <v>10367959285598.43</v>
      </c>
      <c r="K48">
        <f t="shared" si="1"/>
        <v>3677055049594.0435</v>
      </c>
      <c r="L48">
        <f t="shared" si="2"/>
        <v>8501351274661428</v>
      </c>
      <c r="M48">
        <f t="shared" si="3"/>
        <v>4771265202.760437</v>
      </c>
    </row>
    <row r="49" spans="2:13">
      <c r="B49">
        <v>1</v>
      </c>
      <c r="C49">
        <v>3597</v>
      </c>
      <c r="D49">
        <v>1760</v>
      </c>
      <c r="E49">
        <f t="shared" si="4"/>
        <v>3097600</v>
      </c>
      <c r="F49">
        <v>4</v>
      </c>
      <c r="G49">
        <f>'Ex7'!H42</f>
        <v>799371749.97999239</v>
      </c>
      <c r="I49">
        <f t="shared" si="5"/>
        <v>799371749.97999239</v>
      </c>
      <c r="J49">
        <f t="shared" si="0"/>
        <v>2875340184678.0327</v>
      </c>
      <c r="K49">
        <f t="shared" si="1"/>
        <v>1406894279964.7866</v>
      </c>
      <c r="L49">
        <f t="shared" si="2"/>
        <v>2476133932738024.5</v>
      </c>
      <c r="M49">
        <f t="shared" si="3"/>
        <v>3197486999.9199696</v>
      </c>
    </row>
    <row r="50" spans="2:13">
      <c r="B50">
        <v>1</v>
      </c>
      <c r="C50">
        <v>7123</v>
      </c>
      <c r="D50">
        <v>1774</v>
      </c>
      <c r="E50">
        <f t="shared" si="4"/>
        <v>3147076</v>
      </c>
      <c r="F50">
        <v>3</v>
      </c>
      <c r="G50">
        <f>'Ex7'!H43</f>
        <v>1195639418.3246002</v>
      </c>
      <c r="I50">
        <f t="shared" si="5"/>
        <v>1195639418.3246002</v>
      </c>
      <c r="J50">
        <f t="shared" si="0"/>
        <v>8516539576726.127</v>
      </c>
      <c r="K50">
        <f t="shared" si="1"/>
        <v>2121064328107.8408</v>
      </c>
      <c r="L50">
        <f t="shared" si="2"/>
        <v>3762768118063309.5</v>
      </c>
      <c r="M50">
        <f t="shared" si="3"/>
        <v>3586918254.9738007</v>
      </c>
    </row>
    <row r="51" spans="2:13">
      <c r="B51">
        <v>1</v>
      </c>
      <c r="C51">
        <v>5642</v>
      </c>
      <c r="D51">
        <v>1376</v>
      </c>
      <c r="E51">
        <f t="shared" si="4"/>
        <v>1893376</v>
      </c>
      <c r="F51">
        <v>3</v>
      </c>
      <c r="G51">
        <f>'Ex7'!H44</f>
        <v>2641853638.3648443</v>
      </c>
      <c r="I51">
        <f t="shared" si="5"/>
        <v>2641853638.3648443</v>
      </c>
      <c r="J51">
        <f t="shared" si="0"/>
        <v>14905338227654.451</v>
      </c>
      <c r="K51">
        <f t="shared" si="1"/>
        <v>3635190606390.0259</v>
      </c>
      <c r="L51">
        <f t="shared" si="2"/>
        <v>5002022274392675</v>
      </c>
      <c r="M51">
        <f t="shared" si="3"/>
        <v>7925560915.094533</v>
      </c>
    </row>
    <row r="52" spans="2:13">
      <c r="B52">
        <v>1</v>
      </c>
      <c r="C52">
        <v>8602</v>
      </c>
      <c r="D52">
        <v>1835</v>
      </c>
      <c r="E52">
        <f t="shared" si="4"/>
        <v>3367225</v>
      </c>
      <c r="F52">
        <v>4</v>
      </c>
      <c r="G52">
        <f>'Ex7'!H45</f>
        <v>1432676537.0399358</v>
      </c>
      <c r="I52">
        <f t="shared" si="5"/>
        <v>1432676537.0399358</v>
      </c>
      <c r="J52">
        <f t="shared" si="0"/>
        <v>12323883571617.527</v>
      </c>
      <c r="K52">
        <f t="shared" si="1"/>
        <v>2628961445468.2822</v>
      </c>
      <c r="L52">
        <f t="shared" si="2"/>
        <v>4824144252434298</v>
      </c>
      <c r="M52">
        <f t="shared" si="3"/>
        <v>5730706148.1597433</v>
      </c>
    </row>
    <row r="53" spans="2:13">
      <c r="B53">
        <v>1</v>
      </c>
      <c r="C53">
        <v>5494</v>
      </c>
      <c r="D53">
        <v>2048</v>
      </c>
      <c r="E53">
        <f t="shared" si="4"/>
        <v>4194304</v>
      </c>
      <c r="F53">
        <v>3</v>
      </c>
      <c r="G53">
        <f>'Ex7'!H46</f>
        <v>57834983.672359049</v>
      </c>
      <c r="I53">
        <f t="shared" si="5"/>
        <v>57834983.672359049</v>
      </c>
      <c r="J53">
        <f t="shared" si="0"/>
        <v>317745400295.94061</v>
      </c>
      <c r="K53">
        <f t="shared" si="1"/>
        <v>118446046560.99133</v>
      </c>
      <c r="L53">
        <f t="shared" si="2"/>
        <v>242577503356910.25</v>
      </c>
      <c r="M53">
        <f t="shared" si="3"/>
        <v>173504951.01707715</v>
      </c>
    </row>
    <row r="54" spans="2:13">
      <c r="B54">
        <v>1</v>
      </c>
      <c r="C54">
        <v>7800</v>
      </c>
      <c r="D54">
        <v>2124</v>
      </c>
      <c r="E54">
        <f t="shared" si="4"/>
        <v>4511376</v>
      </c>
      <c r="F54">
        <v>3</v>
      </c>
      <c r="G54">
        <f>'Ex7'!H47</f>
        <v>260052009.82116354</v>
      </c>
      <c r="I54">
        <f t="shared" si="5"/>
        <v>260052009.82116354</v>
      </c>
      <c r="J54">
        <f t="shared" si="0"/>
        <v>2028405676605.0757</v>
      </c>
      <c r="K54">
        <f t="shared" si="1"/>
        <v>552350468860.15137</v>
      </c>
      <c r="L54">
        <f t="shared" si="2"/>
        <v>1173192395858961.5</v>
      </c>
      <c r="M54">
        <f t="shared" si="3"/>
        <v>780156029.46349061</v>
      </c>
    </row>
    <row r="55" spans="2:13">
      <c r="B55">
        <v>1</v>
      </c>
      <c r="C55">
        <v>9425</v>
      </c>
      <c r="D55">
        <v>1440</v>
      </c>
      <c r="E55">
        <f t="shared" si="4"/>
        <v>2073600</v>
      </c>
      <c r="F55">
        <v>3</v>
      </c>
      <c r="G55">
        <f>'Ex7'!H48</f>
        <v>348004429.43794143</v>
      </c>
      <c r="I55">
        <f t="shared" si="5"/>
        <v>348004429.43794143</v>
      </c>
      <c r="J55">
        <f t="shared" si="0"/>
        <v>3279941747452.5981</v>
      </c>
      <c r="K55">
        <f t="shared" si="1"/>
        <v>501126378390.63568</v>
      </c>
      <c r="L55">
        <f t="shared" si="2"/>
        <v>721621984882515.37</v>
      </c>
      <c r="M55">
        <f t="shared" si="3"/>
        <v>1044013288.3138243</v>
      </c>
    </row>
    <row r="56" spans="2:13">
      <c r="B56">
        <v>1</v>
      </c>
      <c r="C56">
        <v>8577</v>
      </c>
      <c r="D56">
        <v>2106</v>
      </c>
      <c r="E56">
        <f t="shared" si="4"/>
        <v>4435236</v>
      </c>
      <c r="F56">
        <v>3</v>
      </c>
      <c r="G56">
        <f>'Ex7'!H49</f>
        <v>3282792694.8094411</v>
      </c>
      <c r="I56">
        <f t="shared" si="5"/>
        <v>3282792694.8094411</v>
      </c>
      <c r="J56">
        <f t="shared" si="0"/>
        <v>28156512943380.578</v>
      </c>
      <c r="K56">
        <f t="shared" si="1"/>
        <v>6913561415268.6826</v>
      </c>
      <c r="L56">
        <f t="shared" si="2"/>
        <v>1.4559960340555846E+16</v>
      </c>
      <c r="M56">
        <f t="shared" si="3"/>
        <v>9848378084.4283237</v>
      </c>
    </row>
    <row r="57" spans="2:13">
      <c r="B57">
        <v>1</v>
      </c>
      <c r="C57">
        <v>8400</v>
      </c>
      <c r="D57">
        <v>3529</v>
      </c>
      <c r="E57">
        <f t="shared" si="4"/>
        <v>12453841</v>
      </c>
      <c r="F57">
        <v>7</v>
      </c>
      <c r="G57">
        <f>'Ex7'!H50</f>
        <v>4734725181.9544373</v>
      </c>
      <c r="I57">
        <f t="shared" si="5"/>
        <v>4734725181.9544373</v>
      </c>
      <c r="J57">
        <f t="shared" si="0"/>
        <v>39771691528417.273</v>
      </c>
      <c r="K57">
        <f t="shared" si="1"/>
        <v>16708845167117.209</v>
      </c>
      <c r="L57">
        <f t="shared" si="2"/>
        <v>5.8965514594756632E+16</v>
      </c>
      <c r="M57">
        <f t="shared" si="3"/>
        <v>33143076273.681061</v>
      </c>
    </row>
    <row r="58" spans="2:13">
      <c r="B58">
        <v>1</v>
      </c>
      <c r="C58">
        <v>9773</v>
      </c>
      <c r="D58">
        <v>2051</v>
      </c>
      <c r="E58">
        <f t="shared" si="4"/>
        <v>4206601</v>
      </c>
      <c r="F58">
        <v>4</v>
      </c>
      <c r="G58">
        <f>'Ex7'!H51</f>
        <v>2961854028.4015222</v>
      </c>
      <c r="I58">
        <f t="shared" si="5"/>
        <v>2961854028.4015222</v>
      </c>
      <c r="J58">
        <f t="shared" si="0"/>
        <v>28946199419568.074</v>
      </c>
      <c r="K58">
        <f t="shared" si="1"/>
        <v>6074762612251.5215</v>
      </c>
      <c r="L58">
        <f t="shared" si="2"/>
        <v>1.2459338117727872E+16</v>
      </c>
      <c r="M58">
        <f t="shared" si="3"/>
        <v>11847416113.606089</v>
      </c>
    </row>
    <row r="59" spans="2:13">
      <c r="B59">
        <v>1</v>
      </c>
      <c r="C59">
        <v>4806</v>
      </c>
      <c r="D59">
        <v>1573</v>
      </c>
      <c r="E59">
        <f t="shared" si="4"/>
        <v>2474329</v>
      </c>
      <c r="F59">
        <v>4</v>
      </c>
      <c r="G59">
        <f>'Ex7'!H52</f>
        <v>157437618.29564509</v>
      </c>
      <c r="I59">
        <f t="shared" si="5"/>
        <v>157437618.29564509</v>
      </c>
      <c r="J59">
        <f t="shared" si="0"/>
        <v>756645193528.87024</v>
      </c>
      <c r="K59">
        <f t="shared" si="1"/>
        <v>247649373579.04971</v>
      </c>
      <c r="L59">
        <f t="shared" si="2"/>
        <v>389552464639845.19</v>
      </c>
      <c r="M59">
        <f t="shared" si="3"/>
        <v>629750473.18258035</v>
      </c>
    </row>
    <row r="60" spans="2:13">
      <c r="B60">
        <v>1</v>
      </c>
      <c r="C60">
        <v>5763</v>
      </c>
      <c r="D60">
        <v>1630</v>
      </c>
      <c r="E60">
        <f t="shared" si="4"/>
        <v>2656900</v>
      </c>
      <c r="F60">
        <v>3</v>
      </c>
      <c r="G60">
        <f>'Ex7'!H53</f>
        <v>237771508.47595096</v>
      </c>
      <c r="I60">
        <f t="shared" si="5"/>
        <v>237771508.47595096</v>
      </c>
      <c r="J60">
        <f t="shared" si="0"/>
        <v>1370277203346.9053</v>
      </c>
      <c r="K60">
        <f t="shared" si="1"/>
        <v>387567558815.80005</v>
      </c>
      <c r="L60">
        <f t="shared" si="2"/>
        <v>631735120869754.12</v>
      </c>
      <c r="M60">
        <f t="shared" si="3"/>
        <v>713314525.42785287</v>
      </c>
    </row>
    <row r="61" spans="2:13">
      <c r="B61">
        <v>1</v>
      </c>
      <c r="C61">
        <v>6383</v>
      </c>
      <c r="D61">
        <v>1840</v>
      </c>
      <c r="E61">
        <f t="shared" si="4"/>
        <v>3385600</v>
      </c>
      <c r="F61">
        <v>4</v>
      </c>
      <c r="G61">
        <f>'Ex7'!H54</f>
        <v>1108621134.8152015</v>
      </c>
      <c r="I61">
        <f t="shared" si="5"/>
        <v>1108621134.8152015</v>
      </c>
      <c r="J61">
        <f t="shared" si="0"/>
        <v>7076328703525.4316</v>
      </c>
      <c r="K61">
        <f t="shared" si="1"/>
        <v>2039862888059.9707</v>
      </c>
      <c r="L61">
        <f t="shared" si="2"/>
        <v>3753347714030346.5</v>
      </c>
      <c r="M61">
        <f t="shared" si="3"/>
        <v>4434484539.2608061</v>
      </c>
    </row>
    <row r="62" spans="2:13">
      <c r="B62">
        <v>1</v>
      </c>
      <c r="C62">
        <v>9000</v>
      </c>
      <c r="D62">
        <v>2066</v>
      </c>
      <c r="E62">
        <f t="shared" si="4"/>
        <v>4268356</v>
      </c>
      <c r="F62">
        <v>4</v>
      </c>
      <c r="G62">
        <f>'Ex7'!H55</f>
        <v>4272176425.0562677</v>
      </c>
      <c r="I62">
        <f t="shared" si="5"/>
        <v>4272176425.0562677</v>
      </c>
      <c r="J62">
        <f t="shared" si="0"/>
        <v>38449587825506.406</v>
      </c>
      <c r="K62">
        <f t="shared" si="1"/>
        <v>8826316494166.25</v>
      </c>
      <c r="L62">
        <f t="shared" si="2"/>
        <v>1.8235169876947472E+16</v>
      </c>
      <c r="M62">
        <f t="shared" si="3"/>
        <v>17088705700.225071</v>
      </c>
    </row>
    <row r="63" spans="2:13">
      <c r="B63">
        <v>1</v>
      </c>
      <c r="C63">
        <v>10892</v>
      </c>
      <c r="D63">
        <v>2750</v>
      </c>
      <c r="E63">
        <f t="shared" si="4"/>
        <v>7562500</v>
      </c>
      <c r="F63">
        <v>4</v>
      </c>
      <c r="G63">
        <f>'Ex7'!H56</f>
        <v>563406716.3162117</v>
      </c>
      <c r="I63">
        <f t="shared" si="5"/>
        <v>563406716.3162117</v>
      </c>
      <c r="J63">
        <f t="shared" si="0"/>
        <v>6136625954116.1777</v>
      </c>
      <c r="K63">
        <f t="shared" si="1"/>
        <v>1549368469869.5823</v>
      </c>
      <c r="L63">
        <f t="shared" si="2"/>
        <v>4260763292141351</v>
      </c>
      <c r="M63">
        <f t="shared" si="3"/>
        <v>2253626865.2648468</v>
      </c>
    </row>
    <row r="64" spans="2:13">
      <c r="B64">
        <v>1</v>
      </c>
      <c r="C64">
        <v>15634</v>
      </c>
      <c r="D64">
        <v>3880</v>
      </c>
      <c r="E64">
        <f t="shared" si="4"/>
        <v>15054400</v>
      </c>
      <c r="F64">
        <v>5</v>
      </c>
      <c r="G64">
        <f>'Ex7'!H57</f>
        <v>727050187.12205076</v>
      </c>
      <c r="I64">
        <f t="shared" si="5"/>
        <v>727050187.12205076</v>
      </c>
      <c r="J64">
        <f t="shared" si="0"/>
        <v>11366702625466.143</v>
      </c>
      <c r="K64">
        <f t="shared" si="1"/>
        <v>2820954726033.5571</v>
      </c>
      <c r="L64">
        <f t="shared" si="2"/>
        <v>1.09453043370102E+16</v>
      </c>
      <c r="M64">
        <f t="shared" si="3"/>
        <v>3635250935.6102538</v>
      </c>
    </row>
    <row r="65" spans="2:13">
      <c r="B65">
        <v>1</v>
      </c>
      <c r="C65">
        <v>6400</v>
      </c>
      <c r="D65">
        <v>1854</v>
      </c>
      <c r="E65">
        <f t="shared" si="4"/>
        <v>3437316</v>
      </c>
      <c r="F65">
        <v>4</v>
      </c>
      <c r="G65">
        <f>'Ex7'!H58</f>
        <v>3675418159.6794677</v>
      </c>
      <c r="I65">
        <f t="shared" si="5"/>
        <v>3675418159.6794677</v>
      </c>
      <c r="J65">
        <f t="shared" si="0"/>
        <v>23522676221948.594</v>
      </c>
      <c r="K65">
        <f t="shared" si="1"/>
        <v>6814225268045.7334</v>
      </c>
      <c r="L65">
        <f t="shared" si="2"/>
        <v>1.263357364695679E+16</v>
      </c>
      <c r="M65">
        <f t="shared" si="3"/>
        <v>14701672638.717871</v>
      </c>
    </row>
    <row r="66" spans="2:13">
      <c r="B66">
        <v>1</v>
      </c>
      <c r="C66">
        <v>6314</v>
      </c>
      <c r="D66">
        <v>1662</v>
      </c>
      <c r="E66">
        <f t="shared" si="4"/>
        <v>2762244</v>
      </c>
      <c r="F66">
        <v>3</v>
      </c>
      <c r="G66">
        <f>'Ex7'!H59</f>
        <v>45377318.183353372</v>
      </c>
      <c r="I66">
        <f t="shared" si="5"/>
        <v>45377318.183353372</v>
      </c>
      <c r="J66">
        <f t="shared" si="0"/>
        <v>286512387009.69318</v>
      </c>
      <c r="K66">
        <f t="shared" si="1"/>
        <v>75417102820.733307</v>
      </c>
      <c r="L66">
        <f t="shared" si="2"/>
        <v>125343224888058.75</v>
      </c>
      <c r="M66">
        <f t="shared" si="3"/>
        <v>136131954.55006012</v>
      </c>
    </row>
    <row r="67" spans="2:13">
      <c r="B67">
        <v>1</v>
      </c>
      <c r="C67">
        <v>28231</v>
      </c>
      <c r="D67">
        <v>3331</v>
      </c>
      <c r="E67">
        <f t="shared" si="4"/>
        <v>11095561</v>
      </c>
      <c r="F67">
        <v>5</v>
      </c>
      <c r="G67">
        <f>'Ex7'!H60</f>
        <v>36425337091.937599</v>
      </c>
      <c r="I67">
        <f t="shared" si="5"/>
        <v>36425337091.937599</v>
      </c>
      <c r="J67">
        <f t="shared" si="0"/>
        <v>1028323691442490.4</v>
      </c>
      <c r="K67">
        <f t="shared" si="1"/>
        <v>121332797853244.14</v>
      </c>
      <c r="L67">
        <f t="shared" si="2"/>
        <v>4.0415954964915622E+17</v>
      </c>
      <c r="M67">
        <f t="shared" si="3"/>
        <v>182126685459.68799</v>
      </c>
    </row>
    <row r="68" spans="2:13">
      <c r="B68">
        <v>1</v>
      </c>
      <c r="C68">
        <v>7050</v>
      </c>
      <c r="D68">
        <v>1656</v>
      </c>
      <c r="E68">
        <f t="shared" si="4"/>
        <v>2742336</v>
      </c>
      <c r="F68">
        <v>4</v>
      </c>
      <c r="G68">
        <f>'Ex7'!H61</f>
        <v>30718983.695385952</v>
      </c>
      <c r="I68">
        <f t="shared" si="5"/>
        <v>30718983.695385952</v>
      </c>
      <c r="J68">
        <f t="shared" si="0"/>
        <v>216568835052.47095</v>
      </c>
      <c r="K68">
        <f t="shared" si="1"/>
        <v>50870636999.559135</v>
      </c>
      <c r="L68">
        <f t="shared" si="2"/>
        <v>84241774871269.922</v>
      </c>
      <c r="M68">
        <f t="shared" si="3"/>
        <v>122875934.78154381</v>
      </c>
    </row>
    <row r="69" spans="2:13">
      <c r="B69">
        <v>1</v>
      </c>
      <c r="C69">
        <v>6637</v>
      </c>
      <c r="D69">
        <v>2293</v>
      </c>
      <c r="E69">
        <f t="shared" si="4"/>
        <v>5257849</v>
      </c>
      <c r="F69">
        <v>5</v>
      </c>
      <c r="G69">
        <f>'Ex7'!H62</f>
        <v>2064944367.6424739</v>
      </c>
      <c r="I69">
        <f t="shared" si="5"/>
        <v>2064944367.6424739</v>
      </c>
      <c r="J69">
        <f t="shared" si="0"/>
        <v>13705035768043.1</v>
      </c>
      <c r="K69">
        <f t="shared" si="1"/>
        <v>4734917435004.1924</v>
      </c>
      <c r="L69">
        <f t="shared" si="2"/>
        <v>1.0857165678464614E+16</v>
      </c>
      <c r="M69">
        <f t="shared" si="3"/>
        <v>10324721838.21237</v>
      </c>
    </row>
    <row r="70" spans="2:13">
      <c r="B70">
        <v>1</v>
      </c>
      <c r="C70">
        <v>7834</v>
      </c>
      <c r="D70">
        <v>1764</v>
      </c>
      <c r="E70">
        <f t="shared" si="4"/>
        <v>3111696</v>
      </c>
      <c r="F70">
        <v>3</v>
      </c>
      <c r="G70">
        <f>'Ex7'!H63</f>
        <v>198233945.81822309</v>
      </c>
      <c r="I70">
        <f t="shared" si="5"/>
        <v>198233945.81822309</v>
      </c>
      <c r="J70">
        <f t="shared" si="0"/>
        <v>1552964731539.9597</v>
      </c>
      <c r="K70">
        <f t="shared" si="1"/>
        <v>349684680423.34552</v>
      </c>
      <c r="L70">
        <f t="shared" si="2"/>
        <v>616843776266781.5</v>
      </c>
      <c r="M70">
        <f t="shared" si="3"/>
        <v>594701837.45466924</v>
      </c>
    </row>
    <row r="71" spans="2:13">
      <c r="B71">
        <v>1</v>
      </c>
      <c r="C71">
        <v>5850</v>
      </c>
      <c r="D71">
        <v>1536</v>
      </c>
      <c r="E71">
        <f t="shared" si="4"/>
        <v>2359296</v>
      </c>
      <c r="F71">
        <v>3</v>
      </c>
      <c r="G71">
        <f>'Ex7'!H64</f>
        <v>605149046.44856012</v>
      </c>
      <c r="I71">
        <f t="shared" si="5"/>
        <v>605149046.44856012</v>
      </c>
      <c r="J71">
        <f t="shared" si="0"/>
        <v>3540121921724.0767</v>
      </c>
      <c r="K71">
        <f t="shared" si="1"/>
        <v>929508935344.98828</v>
      </c>
      <c r="L71">
        <f t="shared" si="2"/>
        <v>1427725724689902</v>
      </c>
      <c r="M71">
        <f t="shared" si="3"/>
        <v>1815447139.3456802</v>
      </c>
    </row>
    <row r="72" spans="2:13">
      <c r="B72">
        <v>1</v>
      </c>
      <c r="C72">
        <v>6660</v>
      </c>
      <c r="D72">
        <v>1638</v>
      </c>
      <c r="E72">
        <f t="shared" si="4"/>
        <v>2683044</v>
      </c>
      <c r="F72">
        <v>4</v>
      </c>
      <c r="G72">
        <f>'Ex7'!H65</f>
        <v>4055929147.2943897</v>
      </c>
      <c r="I72">
        <f t="shared" si="5"/>
        <v>4055929147.2943897</v>
      </c>
      <c r="J72">
        <f t="shared" si="0"/>
        <v>27012488120980.637</v>
      </c>
      <c r="K72">
        <f t="shared" si="1"/>
        <v>6643611943268.21</v>
      </c>
      <c r="L72">
        <f t="shared" si="2"/>
        <v>1.0882236363073328E+16</v>
      </c>
      <c r="M72">
        <f t="shared" si="3"/>
        <v>16223716589.177559</v>
      </c>
    </row>
    <row r="73" spans="2:13">
      <c r="B73">
        <v>1</v>
      </c>
      <c r="C73">
        <v>6637</v>
      </c>
      <c r="D73">
        <v>1972</v>
      </c>
      <c r="E73">
        <f t="shared" si="4"/>
        <v>3888784</v>
      </c>
      <c r="F73">
        <v>3</v>
      </c>
      <c r="G73">
        <f>'Ex7'!H66</f>
        <v>16857139.596569881</v>
      </c>
      <c r="I73">
        <f t="shared" si="5"/>
        <v>16857139.596569881</v>
      </c>
      <c r="J73">
        <f t="shared" si="0"/>
        <v>111880835502.4343</v>
      </c>
      <c r="K73">
        <f t="shared" si="1"/>
        <v>33242279284.435806</v>
      </c>
      <c r="L73">
        <f t="shared" si="2"/>
        <v>65553774748907.406</v>
      </c>
      <c r="M73">
        <f t="shared" si="3"/>
        <v>50571418.789709643</v>
      </c>
    </row>
    <row r="74" spans="2:13">
      <c r="B74">
        <v>1</v>
      </c>
      <c r="C74">
        <v>5146</v>
      </c>
      <c r="D74">
        <v>1408</v>
      </c>
      <c r="E74">
        <f t="shared" si="4"/>
        <v>1982464</v>
      </c>
      <c r="F74">
        <v>3</v>
      </c>
      <c r="G74">
        <f>'Ex7'!H67</f>
        <v>60893190.651608549</v>
      </c>
      <c r="I74">
        <f t="shared" si="5"/>
        <v>60893190.651608549</v>
      </c>
      <c r="J74">
        <f t="shared" si="0"/>
        <v>313356359093.17761</v>
      </c>
      <c r="K74">
        <f t="shared" si="1"/>
        <v>85737612437.464844</v>
      </c>
      <c r="L74">
        <f t="shared" si="2"/>
        <v>120718558311950.48</v>
      </c>
      <c r="M74">
        <f t="shared" si="3"/>
        <v>182679571.95482564</v>
      </c>
    </row>
    <row r="75" spans="2:13">
      <c r="B75">
        <v>1</v>
      </c>
      <c r="C75">
        <v>6017</v>
      </c>
      <c r="D75">
        <v>1812</v>
      </c>
      <c r="E75">
        <f t="shared" si="4"/>
        <v>3283344</v>
      </c>
      <c r="F75">
        <v>3</v>
      </c>
      <c r="G75">
        <f>'Ex7'!H68</f>
        <v>5138060887.5432291</v>
      </c>
      <c r="I75">
        <f t="shared" si="5"/>
        <v>5138060887.5432291</v>
      </c>
      <c r="J75">
        <f t="shared" ref="J75:J98" si="7">C75*$G75</f>
        <v>30915712360347.609</v>
      </c>
      <c r="K75">
        <f t="shared" ref="K75:K98" si="8">D75*$G75</f>
        <v>9310166328228.332</v>
      </c>
      <c r="L75">
        <f t="shared" ref="L75:L98" si="9">E75*$G75</f>
        <v>1.6870021386749736E+16</v>
      </c>
      <c r="M75">
        <f t="shared" ref="M75:M98" si="10">F75*$G75</f>
        <v>15414182662.629688</v>
      </c>
    </row>
    <row r="76" spans="2:13">
      <c r="B76">
        <v>1</v>
      </c>
      <c r="C76">
        <v>8410</v>
      </c>
      <c r="D76">
        <v>1722</v>
      </c>
      <c r="E76">
        <f t="shared" ref="E76:E98" si="11">D76^2</f>
        <v>2965284</v>
      </c>
      <c r="F76">
        <v>3</v>
      </c>
      <c r="G76">
        <f>'Ex7'!H69</f>
        <v>2598108.6286945515</v>
      </c>
      <c r="I76">
        <f t="shared" ref="I76:I98" si="12">B76*$G76</f>
        <v>2598108.6286945515</v>
      </c>
      <c r="J76">
        <f t="shared" si="7"/>
        <v>21850093567.321178</v>
      </c>
      <c r="K76">
        <f t="shared" si="8"/>
        <v>4473943058.6120176</v>
      </c>
      <c r="L76">
        <f t="shared" si="9"/>
        <v>7704129946929.8945</v>
      </c>
      <c r="M76">
        <f t="shared" si="10"/>
        <v>7794325.8860836551</v>
      </c>
    </row>
    <row r="77" spans="2:13">
      <c r="B77">
        <v>1</v>
      </c>
      <c r="C77">
        <v>5625</v>
      </c>
      <c r="D77">
        <v>1780</v>
      </c>
      <c r="E77">
        <f t="shared" si="11"/>
        <v>3168400</v>
      </c>
      <c r="F77">
        <v>4</v>
      </c>
      <c r="G77">
        <f>'Ex7'!H70</f>
        <v>129608251.18421298</v>
      </c>
      <c r="I77">
        <f t="shared" si="12"/>
        <v>129608251.18421298</v>
      </c>
      <c r="J77">
        <f t="shared" si="7"/>
        <v>729046412911.198</v>
      </c>
      <c r="K77">
        <f t="shared" si="8"/>
        <v>230702687107.89911</v>
      </c>
      <c r="L77">
        <f t="shared" si="9"/>
        <v>410650783052060.44</v>
      </c>
      <c r="M77">
        <f t="shared" si="10"/>
        <v>518433004.73685193</v>
      </c>
    </row>
    <row r="78" spans="2:13">
      <c r="B78">
        <v>1</v>
      </c>
      <c r="C78">
        <v>5600</v>
      </c>
      <c r="D78">
        <v>1674</v>
      </c>
      <c r="E78">
        <f t="shared" si="11"/>
        <v>2802276</v>
      </c>
      <c r="F78">
        <v>4</v>
      </c>
      <c r="G78">
        <f>'Ex7'!H71</f>
        <v>1867250899.9045868</v>
      </c>
      <c r="I78">
        <f t="shared" si="12"/>
        <v>1867250899.9045868</v>
      </c>
      <c r="J78">
        <f t="shared" si="7"/>
        <v>10456605039465.686</v>
      </c>
      <c r="K78">
        <f t="shared" si="8"/>
        <v>3125778006440.2783</v>
      </c>
      <c r="L78">
        <f t="shared" si="9"/>
        <v>5232552382781026</v>
      </c>
      <c r="M78">
        <f t="shared" si="10"/>
        <v>7469003599.6183472</v>
      </c>
    </row>
    <row r="79" spans="2:13">
      <c r="B79">
        <v>1</v>
      </c>
      <c r="C79">
        <v>6525</v>
      </c>
      <c r="D79">
        <v>1850</v>
      </c>
      <c r="E79">
        <f t="shared" si="11"/>
        <v>3422500</v>
      </c>
      <c r="F79">
        <v>4</v>
      </c>
      <c r="G79">
        <f>'Ex7'!H72</f>
        <v>132192808.64535297</v>
      </c>
      <c r="I79">
        <f t="shared" si="12"/>
        <v>132192808.64535297</v>
      </c>
      <c r="J79">
        <f t="shared" si="7"/>
        <v>862558076410.9281</v>
      </c>
      <c r="K79">
        <f t="shared" si="8"/>
        <v>244556695993.90302</v>
      </c>
      <c r="L79">
        <f t="shared" si="9"/>
        <v>452429887588720.56</v>
      </c>
      <c r="M79">
        <f t="shared" si="10"/>
        <v>528771234.5814119</v>
      </c>
    </row>
    <row r="80" spans="2:13">
      <c r="B80">
        <v>1</v>
      </c>
      <c r="C80">
        <v>6060</v>
      </c>
      <c r="D80">
        <v>1925</v>
      </c>
      <c r="E80">
        <f t="shared" si="11"/>
        <v>3705625</v>
      </c>
      <c r="F80">
        <v>3</v>
      </c>
      <c r="G80">
        <f>'Ex7'!H73</f>
        <v>709292171.86357653</v>
      </c>
      <c r="I80">
        <f t="shared" si="12"/>
        <v>709292171.86357653</v>
      </c>
      <c r="J80">
        <f t="shared" si="7"/>
        <v>4298310561493.2739</v>
      </c>
      <c r="K80">
        <f t="shared" si="8"/>
        <v>1365387430837.3848</v>
      </c>
      <c r="L80">
        <f t="shared" si="9"/>
        <v>2628370804361966</v>
      </c>
      <c r="M80">
        <f t="shared" si="10"/>
        <v>2127876515.5907297</v>
      </c>
    </row>
    <row r="81" spans="2:13">
      <c r="B81">
        <v>1</v>
      </c>
      <c r="C81">
        <v>5484</v>
      </c>
      <c r="D81">
        <v>1664</v>
      </c>
      <c r="E81">
        <f t="shared" si="11"/>
        <v>2768896</v>
      </c>
      <c r="F81">
        <v>4</v>
      </c>
      <c r="G81">
        <f>'Ex7'!H74</f>
        <v>220308547.29250833</v>
      </c>
      <c r="I81">
        <f t="shared" si="12"/>
        <v>220308547.29250833</v>
      </c>
      <c r="J81">
        <f t="shared" si="7"/>
        <v>1208172073352.1157</v>
      </c>
      <c r="K81">
        <f t="shared" si="8"/>
        <v>366593422694.73389</v>
      </c>
      <c r="L81">
        <f t="shared" si="9"/>
        <v>610011455364037.12</v>
      </c>
      <c r="M81">
        <f t="shared" si="10"/>
        <v>881234189.17003334</v>
      </c>
    </row>
    <row r="82" spans="2:13">
      <c r="B82">
        <v>1</v>
      </c>
      <c r="C82">
        <v>5348</v>
      </c>
      <c r="D82">
        <v>1386</v>
      </c>
      <c r="E82">
        <f t="shared" si="11"/>
        <v>1920996</v>
      </c>
      <c r="F82">
        <v>6</v>
      </c>
      <c r="G82">
        <f>'Ex7'!H75</f>
        <v>2838077418.9461703</v>
      </c>
      <c r="I82">
        <f t="shared" si="12"/>
        <v>2838077418.9461703</v>
      </c>
      <c r="J82">
        <f t="shared" si="7"/>
        <v>15178038036524.119</v>
      </c>
      <c r="K82">
        <f t="shared" si="8"/>
        <v>3933575302659.3921</v>
      </c>
      <c r="L82">
        <f t="shared" si="9"/>
        <v>5451935369485917</v>
      </c>
      <c r="M82">
        <f t="shared" si="10"/>
        <v>17028464513.677021</v>
      </c>
    </row>
    <row r="83" spans="2:13">
      <c r="B83">
        <v>1</v>
      </c>
      <c r="C83">
        <v>15834</v>
      </c>
      <c r="D83">
        <v>2617</v>
      </c>
      <c r="E83">
        <f t="shared" si="11"/>
        <v>6848689</v>
      </c>
      <c r="F83">
        <v>5</v>
      </c>
      <c r="G83">
        <f>'Ex7'!H76</f>
        <v>6887041428.3590717</v>
      </c>
      <c r="I83">
        <f t="shared" si="12"/>
        <v>6887041428.3590717</v>
      </c>
      <c r="J83">
        <f t="shared" si="7"/>
        <v>109049413976637.55</v>
      </c>
      <c r="K83">
        <f t="shared" si="8"/>
        <v>18023387418015.691</v>
      </c>
      <c r="L83">
        <f t="shared" si="9"/>
        <v>4.7167204872947064E+16</v>
      </c>
      <c r="M83">
        <f t="shared" si="10"/>
        <v>34435207141.795357</v>
      </c>
    </row>
    <row r="84" spans="2:13">
      <c r="B84">
        <v>1</v>
      </c>
      <c r="C84">
        <v>8022</v>
      </c>
      <c r="D84">
        <v>2321</v>
      </c>
      <c r="E84">
        <f t="shared" si="11"/>
        <v>5387041</v>
      </c>
      <c r="F84">
        <v>4</v>
      </c>
      <c r="G84">
        <f>'Ex7'!H77</f>
        <v>163591800.06847414</v>
      </c>
      <c r="I84">
        <f t="shared" si="12"/>
        <v>163591800.06847414</v>
      </c>
      <c r="J84">
        <f t="shared" si="7"/>
        <v>1312333420149.2996</v>
      </c>
      <c r="K84">
        <f t="shared" si="8"/>
        <v>379696567958.92847</v>
      </c>
      <c r="L84">
        <f t="shared" si="9"/>
        <v>881275734232673</v>
      </c>
      <c r="M84">
        <f t="shared" si="10"/>
        <v>654367200.27389657</v>
      </c>
    </row>
    <row r="85" spans="2:13">
      <c r="B85">
        <v>1</v>
      </c>
      <c r="C85">
        <v>11966</v>
      </c>
      <c r="D85">
        <v>2638</v>
      </c>
      <c r="E85">
        <f t="shared" si="11"/>
        <v>6959044</v>
      </c>
      <c r="F85">
        <v>4</v>
      </c>
      <c r="G85">
        <f>'Ex7'!H78</f>
        <v>15563917331.818933</v>
      </c>
      <c r="I85">
        <f t="shared" si="12"/>
        <v>15563917331.818933</v>
      </c>
      <c r="J85">
        <f t="shared" si="7"/>
        <v>186237834792545.34</v>
      </c>
      <c r="K85">
        <f t="shared" si="8"/>
        <v>41057613921338.344</v>
      </c>
      <c r="L85">
        <f t="shared" si="9"/>
        <v>1.0830998552449056E+17</v>
      </c>
      <c r="M85">
        <f t="shared" si="10"/>
        <v>62255669327.275734</v>
      </c>
    </row>
    <row r="86" spans="2:13">
      <c r="B86">
        <v>1</v>
      </c>
      <c r="C86">
        <v>8460</v>
      </c>
      <c r="D86">
        <v>1915</v>
      </c>
      <c r="E86">
        <f t="shared" si="11"/>
        <v>3667225</v>
      </c>
      <c r="F86">
        <v>4</v>
      </c>
      <c r="G86">
        <f>'Ex7'!H79</f>
        <v>8334.8529833585108</v>
      </c>
      <c r="I86">
        <f t="shared" si="12"/>
        <v>8334.8529833585108</v>
      </c>
      <c r="J86">
        <f t="shared" si="7"/>
        <v>70512856.239213005</v>
      </c>
      <c r="K86">
        <f t="shared" si="8"/>
        <v>15961243.463131549</v>
      </c>
      <c r="L86">
        <f t="shared" si="9"/>
        <v>30565781231.896915</v>
      </c>
      <c r="M86">
        <f t="shared" si="10"/>
        <v>33339.411933434043</v>
      </c>
    </row>
    <row r="87" spans="2:13">
      <c r="B87">
        <v>1</v>
      </c>
      <c r="C87">
        <v>15105</v>
      </c>
      <c r="D87">
        <v>2589</v>
      </c>
      <c r="E87">
        <f t="shared" si="11"/>
        <v>6702921</v>
      </c>
      <c r="F87">
        <v>4</v>
      </c>
      <c r="G87">
        <f>'Ex7'!H80</f>
        <v>105115971.17754266</v>
      </c>
      <c r="I87">
        <f t="shared" si="12"/>
        <v>105115971.17754266</v>
      </c>
      <c r="J87">
        <f t="shared" si="7"/>
        <v>1587776744636.7817</v>
      </c>
      <c r="K87">
        <f t="shared" si="8"/>
        <v>272145249378.65793</v>
      </c>
      <c r="L87">
        <f t="shared" si="9"/>
        <v>704584050641345.37</v>
      </c>
      <c r="M87">
        <f t="shared" si="10"/>
        <v>420463884.71017063</v>
      </c>
    </row>
    <row r="88" spans="2:13">
      <c r="B88">
        <v>1</v>
      </c>
      <c r="C88">
        <v>6300</v>
      </c>
      <c r="D88">
        <v>1587</v>
      </c>
      <c r="E88">
        <f t="shared" si="11"/>
        <v>2518569</v>
      </c>
      <c r="F88">
        <v>3</v>
      </c>
      <c r="G88">
        <f>'Ex7'!H81</f>
        <v>174298485.01092473</v>
      </c>
      <c r="I88">
        <f t="shared" si="12"/>
        <v>174298485.01092473</v>
      </c>
      <c r="J88">
        <f t="shared" si="7"/>
        <v>1098080455568.8258</v>
      </c>
      <c r="K88">
        <f t="shared" si="8"/>
        <v>276611695712.33752</v>
      </c>
      <c r="L88">
        <f t="shared" si="9"/>
        <v>438982761095479.69</v>
      </c>
      <c r="M88">
        <f t="shared" si="10"/>
        <v>522895455.03277421</v>
      </c>
    </row>
    <row r="89" spans="2:13">
      <c r="B89">
        <v>1</v>
      </c>
      <c r="C89">
        <v>6000</v>
      </c>
      <c r="D89">
        <v>1536</v>
      </c>
      <c r="E89">
        <f t="shared" si="11"/>
        <v>2359296</v>
      </c>
      <c r="F89">
        <v>3</v>
      </c>
      <c r="G89">
        <f>'Ex7'!H82</f>
        <v>127874457.1078033</v>
      </c>
      <c r="I89">
        <f t="shared" si="12"/>
        <v>127874457.1078033</v>
      </c>
      <c r="J89">
        <f t="shared" si="7"/>
        <v>767246742646.81982</v>
      </c>
      <c r="K89">
        <f t="shared" si="8"/>
        <v>196415166117.58588</v>
      </c>
      <c r="L89">
        <f t="shared" si="9"/>
        <v>301693695156611.87</v>
      </c>
      <c r="M89">
        <f t="shared" si="10"/>
        <v>383623371.32340991</v>
      </c>
    </row>
    <row r="90" spans="2:13">
      <c r="B90">
        <v>1</v>
      </c>
      <c r="C90">
        <v>4054</v>
      </c>
      <c r="D90">
        <v>1736</v>
      </c>
      <c r="E90">
        <f t="shared" si="11"/>
        <v>3013696</v>
      </c>
      <c r="F90">
        <v>3</v>
      </c>
      <c r="G90">
        <f>'Ex7'!H83</f>
        <v>123791445.05228049</v>
      </c>
      <c r="I90">
        <f t="shared" si="12"/>
        <v>123791445.05228049</v>
      </c>
      <c r="J90">
        <f t="shared" si="7"/>
        <v>501850518241.94507</v>
      </c>
      <c r="K90">
        <f t="shared" si="8"/>
        <v>214901948610.75891</v>
      </c>
      <c r="L90">
        <f t="shared" si="9"/>
        <v>373069782788277.5</v>
      </c>
      <c r="M90">
        <f t="shared" si="10"/>
        <v>371374335.15684146</v>
      </c>
    </row>
    <row r="91" spans="2:13">
      <c r="B91">
        <v>1</v>
      </c>
      <c r="C91">
        <v>92681</v>
      </c>
      <c r="D91">
        <v>1696</v>
      </c>
      <c r="E91">
        <f t="shared" si="11"/>
        <v>2876416</v>
      </c>
      <c r="F91">
        <v>4</v>
      </c>
      <c r="G91">
        <f>'Ex7'!H84</f>
        <v>11098821567.023144</v>
      </c>
      <c r="I91">
        <f t="shared" si="12"/>
        <v>11098821567.023144</v>
      </c>
      <c r="J91">
        <f t="shared" si="7"/>
        <v>1028649881653272</v>
      </c>
      <c r="K91">
        <f t="shared" si="8"/>
        <v>18823601377671.25</v>
      </c>
      <c r="L91">
        <f t="shared" si="9"/>
        <v>3.1924827936530444E+16</v>
      </c>
      <c r="M91">
        <f t="shared" si="10"/>
        <v>44395286268.092575</v>
      </c>
    </row>
    <row r="92" spans="2:13">
      <c r="B92">
        <v>1</v>
      </c>
      <c r="C92">
        <v>8178</v>
      </c>
      <c r="D92">
        <v>2186</v>
      </c>
      <c r="E92">
        <f t="shared" si="11"/>
        <v>4778596</v>
      </c>
      <c r="F92">
        <v>3</v>
      </c>
      <c r="G92">
        <f>'Ex7'!H85</f>
        <v>1321108236.243238</v>
      </c>
      <c r="I92">
        <f t="shared" si="12"/>
        <v>1321108236.243238</v>
      </c>
      <c r="J92">
        <f t="shared" si="7"/>
        <v>10804023155997.199</v>
      </c>
      <c r="K92">
        <f t="shared" si="8"/>
        <v>2887942604427.7183</v>
      </c>
      <c r="L92">
        <f t="shared" si="9"/>
        <v>6313042533278992</v>
      </c>
      <c r="M92">
        <f t="shared" si="10"/>
        <v>3963324708.7297139</v>
      </c>
    </row>
    <row r="93" spans="2:13">
      <c r="B93">
        <v>1</v>
      </c>
      <c r="C93">
        <v>5944</v>
      </c>
      <c r="D93">
        <v>1928</v>
      </c>
      <c r="E93">
        <f t="shared" si="11"/>
        <v>3717184</v>
      </c>
      <c r="F93">
        <v>4</v>
      </c>
      <c r="G93">
        <f>'Ex7'!H86</f>
        <v>886547913.7727015</v>
      </c>
      <c r="I93">
        <f t="shared" si="12"/>
        <v>886547913.7727015</v>
      </c>
      <c r="J93">
        <f t="shared" si="7"/>
        <v>5269640799464.9375</v>
      </c>
      <c r="K93">
        <f t="shared" si="8"/>
        <v>1709264377753.7686</v>
      </c>
      <c r="L93">
        <f t="shared" si="9"/>
        <v>3295461720309265.5</v>
      </c>
      <c r="M93">
        <f t="shared" si="10"/>
        <v>3546191655.090806</v>
      </c>
    </row>
    <row r="94" spans="2:13">
      <c r="B94">
        <v>1</v>
      </c>
      <c r="C94">
        <v>4315</v>
      </c>
      <c r="D94">
        <v>1535</v>
      </c>
      <c r="E94">
        <f t="shared" si="11"/>
        <v>2356225</v>
      </c>
      <c r="F94">
        <v>4</v>
      </c>
      <c r="G94">
        <f>'Ex7'!H87</f>
        <v>16302789196.783758</v>
      </c>
      <c r="I94">
        <f t="shared" si="12"/>
        <v>16302789196.783758</v>
      </c>
      <c r="J94">
        <f t="shared" si="7"/>
        <v>70346535384121.914</v>
      </c>
      <c r="K94">
        <f t="shared" si="8"/>
        <v>25024781417063.07</v>
      </c>
      <c r="L94">
        <f t="shared" si="9"/>
        <v>3.8413039475191808E+16</v>
      </c>
      <c r="M94">
        <f t="shared" si="10"/>
        <v>65211156787.135033</v>
      </c>
    </row>
    <row r="95" spans="2:13">
      <c r="B95">
        <v>1</v>
      </c>
      <c r="C95">
        <v>5167</v>
      </c>
      <c r="D95">
        <v>1980</v>
      </c>
      <c r="E95">
        <f t="shared" si="11"/>
        <v>3920400</v>
      </c>
      <c r="F95">
        <v>3</v>
      </c>
      <c r="G95">
        <f>'Ex7'!H88</f>
        <v>4323327.2075658534</v>
      </c>
      <c r="I95">
        <f t="shared" si="12"/>
        <v>4323327.2075658534</v>
      </c>
      <c r="J95">
        <f t="shared" si="7"/>
        <v>22338631681.492764</v>
      </c>
      <c r="K95">
        <f t="shared" si="8"/>
        <v>8560187870.9803896</v>
      </c>
      <c r="L95">
        <f t="shared" si="9"/>
        <v>16949171984541.172</v>
      </c>
      <c r="M95">
        <f t="shared" si="10"/>
        <v>12969981.62269756</v>
      </c>
    </row>
    <row r="96" spans="2:13">
      <c r="B96">
        <v>1</v>
      </c>
      <c r="C96">
        <v>7893</v>
      </c>
      <c r="D96">
        <v>2090</v>
      </c>
      <c r="E96">
        <f t="shared" si="11"/>
        <v>4368100</v>
      </c>
      <c r="F96">
        <v>4</v>
      </c>
      <c r="G96">
        <f>'Ex7'!H89</f>
        <v>2705432273.6940885</v>
      </c>
      <c r="I96">
        <f t="shared" si="12"/>
        <v>2705432273.6940885</v>
      </c>
      <c r="J96">
        <f t="shared" si="7"/>
        <v>21353976936267.441</v>
      </c>
      <c r="K96">
        <f t="shared" si="8"/>
        <v>5654353452020.6445</v>
      </c>
      <c r="L96">
        <f t="shared" si="9"/>
        <v>1.1817598714723148E+16</v>
      </c>
      <c r="M96">
        <f t="shared" si="10"/>
        <v>10821729094.776354</v>
      </c>
    </row>
    <row r="97" spans="2:13">
      <c r="B97">
        <v>1</v>
      </c>
      <c r="C97">
        <v>6056</v>
      </c>
      <c r="D97">
        <v>1837</v>
      </c>
      <c r="E97">
        <f t="shared" si="11"/>
        <v>3374569</v>
      </c>
      <c r="F97">
        <v>3</v>
      </c>
      <c r="G97">
        <f>'Ex7'!H90</f>
        <v>1677582465.7307928</v>
      </c>
      <c r="I97">
        <f t="shared" si="12"/>
        <v>1677582465.7307928</v>
      </c>
      <c r="J97">
        <f t="shared" si="7"/>
        <v>10159439412465.682</v>
      </c>
      <c r="K97">
        <f t="shared" si="8"/>
        <v>3081718989547.4663</v>
      </c>
      <c r="L97">
        <f t="shared" si="9"/>
        <v>5661117783798696</v>
      </c>
      <c r="M97">
        <f t="shared" si="10"/>
        <v>5032747397.192378</v>
      </c>
    </row>
    <row r="98" spans="2:13">
      <c r="B98">
        <v>1</v>
      </c>
      <c r="C98">
        <v>4950</v>
      </c>
      <c r="D98">
        <v>1774</v>
      </c>
      <c r="E98">
        <f t="shared" si="11"/>
        <v>3147076</v>
      </c>
      <c r="F98">
        <v>4</v>
      </c>
      <c r="G98">
        <f>'Ex7'!H91</f>
        <v>307629170.44736302</v>
      </c>
      <c r="I98">
        <f t="shared" si="12"/>
        <v>307629170.44736302</v>
      </c>
      <c r="J98">
        <f t="shared" si="7"/>
        <v>1522764393714.447</v>
      </c>
      <c r="K98">
        <f t="shared" si="8"/>
        <v>545734148373.62201</v>
      </c>
      <c r="L98">
        <f t="shared" si="9"/>
        <v>968132379214805.37</v>
      </c>
      <c r="M98">
        <f t="shared" si="10"/>
        <v>1230516681.7894521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8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2:Y97"/>
  <sheetViews>
    <sheetView workbookViewId="0">
      <selection activeCell="L6" sqref="L6:Q28"/>
    </sheetView>
  </sheetViews>
  <sheetFormatPr defaultRowHeight="15"/>
  <cols>
    <col min="10" max="10" width="12" bestFit="1" customWidth="1"/>
    <col min="13" max="16" width="12.140625" bestFit="1" customWidth="1"/>
    <col min="17" max="17" width="11" bestFit="1" customWidth="1"/>
    <col min="21" max="21" width="9.140625" customWidth="1"/>
    <col min="22" max="22" width="12" bestFit="1" customWidth="1"/>
  </cols>
  <sheetData>
    <row r="2" spans="2:17">
      <c r="B2" s="79" t="s">
        <v>182</v>
      </c>
    </row>
    <row r="5" spans="2:17" ht="17.25">
      <c r="C5" s="63" t="s">
        <v>140</v>
      </c>
      <c r="D5" s="63" t="s">
        <v>92</v>
      </c>
      <c r="E5" s="63" t="s">
        <v>138</v>
      </c>
      <c r="F5" s="63" t="s">
        <v>139</v>
      </c>
      <c r="G5" s="63" t="s">
        <v>142</v>
      </c>
      <c r="H5" s="63" t="s">
        <v>141</v>
      </c>
      <c r="I5" s="67" t="s">
        <v>174</v>
      </c>
      <c r="J5" s="67" t="s">
        <v>115</v>
      </c>
    </row>
    <row r="6" spans="2:17">
      <c r="B6">
        <v>1</v>
      </c>
      <c r="C6">
        <v>191000</v>
      </c>
      <c r="D6">
        <v>1</v>
      </c>
      <c r="E6">
        <v>5200</v>
      </c>
      <c r="F6">
        <v>1374</v>
      </c>
      <c r="G6">
        <f>F6^2</f>
        <v>1887876</v>
      </c>
      <c r="H6">
        <v>3</v>
      </c>
      <c r="I6">
        <v>0</v>
      </c>
      <c r="J6">
        <f>(C6-M$24-M$25*E6-M$26*F6-M$27*G6-M$28*H6)^2</f>
        <v>527191911.37963825</v>
      </c>
      <c r="L6" s="38"/>
      <c r="M6" s="40">
        <f t="array" ref="M6:Q10">MMULT(TRANSPOSE(D6:H32),D6:H32)</f>
        <v>27</v>
      </c>
      <c r="N6" s="50">
        <v>237781</v>
      </c>
      <c r="O6" s="50">
        <v>52846</v>
      </c>
      <c r="P6" s="50">
        <v>115030576</v>
      </c>
      <c r="Q6" s="41">
        <v>86</v>
      </c>
    </row>
    <row r="7" spans="2:17">
      <c r="B7">
        <f>B6+1</f>
        <v>2</v>
      </c>
      <c r="C7">
        <v>206000</v>
      </c>
      <c r="D7">
        <v>1</v>
      </c>
      <c r="E7">
        <v>6000</v>
      </c>
      <c r="F7">
        <v>1767</v>
      </c>
      <c r="G7">
        <f t="shared" ref="G7:G32" si="0">F7^2</f>
        <v>3122289</v>
      </c>
      <c r="H7">
        <v>3</v>
      </c>
      <c r="I7">
        <v>0</v>
      </c>
      <c r="J7">
        <f t="shared" ref="J7:J32" si="1">(C7-M$24-M$25*E7-M$26*F7-M$27*G7-M$28*H7)^2</f>
        <v>366126955.45239925</v>
      </c>
      <c r="M7" s="40">
        <v>237781</v>
      </c>
      <c r="N7" s="50">
        <v>3169467083</v>
      </c>
      <c r="O7" s="50">
        <v>508010171</v>
      </c>
      <c r="P7" s="50">
        <v>1242271890989</v>
      </c>
      <c r="Q7" s="41">
        <v>778370</v>
      </c>
    </row>
    <row r="8" spans="2:17">
      <c r="B8">
        <f t="shared" ref="B8:B32" si="2">B7+1</f>
        <v>3</v>
      </c>
      <c r="C8">
        <v>240000</v>
      </c>
      <c r="D8">
        <v>1</v>
      </c>
      <c r="E8">
        <v>2892</v>
      </c>
      <c r="F8">
        <v>1890</v>
      </c>
      <c r="G8">
        <f t="shared" si="0"/>
        <v>3572100</v>
      </c>
      <c r="H8">
        <v>3</v>
      </c>
      <c r="I8">
        <v>0</v>
      </c>
      <c r="J8">
        <f t="shared" si="1"/>
        <v>781191750.93617713</v>
      </c>
      <c r="L8" s="38" t="s">
        <v>93</v>
      </c>
      <c r="M8" s="40">
        <v>52846</v>
      </c>
      <c r="N8" s="50">
        <v>508010171</v>
      </c>
      <c r="O8" s="50">
        <v>115030576</v>
      </c>
      <c r="P8" s="50">
        <v>280802826664</v>
      </c>
      <c r="Q8" s="41">
        <v>176621</v>
      </c>
    </row>
    <row r="9" spans="2:17">
      <c r="B9">
        <f t="shared" si="2"/>
        <v>4</v>
      </c>
      <c r="C9">
        <v>212000</v>
      </c>
      <c r="D9">
        <v>1</v>
      </c>
      <c r="E9">
        <v>6460</v>
      </c>
      <c r="F9">
        <v>1899</v>
      </c>
      <c r="G9">
        <f t="shared" si="0"/>
        <v>3606201</v>
      </c>
      <c r="H9">
        <v>3</v>
      </c>
      <c r="I9">
        <v>0</v>
      </c>
      <c r="J9">
        <f t="shared" si="1"/>
        <v>454138084.16808742</v>
      </c>
      <c r="M9" s="40">
        <v>115030576</v>
      </c>
      <c r="N9" s="50">
        <v>1242271890989</v>
      </c>
      <c r="O9" s="50">
        <v>280802826664</v>
      </c>
      <c r="P9" s="50">
        <v>764165287748092</v>
      </c>
      <c r="Q9" s="41">
        <v>406105729</v>
      </c>
    </row>
    <row r="10" spans="2:17">
      <c r="B10">
        <f t="shared" si="2"/>
        <v>5</v>
      </c>
      <c r="C10">
        <v>240000</v>
      </c>
      <c r="D10">
        <v>1</v>
      </c>
      <c r="E10">
        <v>5922</v>
      </c>
      <c r="F10">
        <v>2000</v>
      </c>
      <c r="G10">
        <f t="shared" si="0"/>
        <v>4000000</v>
      </c>
      <c r="H10">
        <v>4</v>
      </c>
      <c r="I10">
        <v>0</v>
      </c>
      <c r="J10">
        <f t="shared" si="1"/>
        <v>33993158.160875022</v>
      </c>
      <c r="M10" s="40">
        <v>86</v>
      </c>
      <c r="N10" s="50">
        <v>778370</v>
      </c>
      <c r="O10" s="50">
        <v>176621</v>
      </c>
      <c r="P10" s="50">
        <v>406105729</v>
      </c>
      <c r="Q10" s="41">
        <v>288</v>
      </c>
    </row>
    <row r="11" spans="2:17">
      <c r="B11">
        <f t="shared" si="2"/>
        <v>6</v>
      </c>
      <c r="C11">
        <v>225000</v>
      </c>
      <c r="D11">
        <v>1</v>
      </c>
      <c r="E11">
        <v>6003</v>
      </c>
      <c r="F11">
        <v>1768</v>
      </c>
      <c r="G11">
        <f t="shared" si="0"/>
        <v>3125824</v>
      </c>
      <c r="H11">
        <v>3</v>
      </c>
      <c r="I11">
        <v>0</v>
      </c>
      <c r="J11">
        <f t="shared" si="1"/>
        <v>35082.634359954129</v>
      </c>
    </row>
    <row r="12" spans="2:17">
      <c r="B12">
        <f t="shared" si="2"/>
        <v>7</v>
      </c>
      <c r="C12">
        <v>150000</v>
      </c>
      <c r="D12">
        <v>1</v>
      </c>
      <c r="E12">
        <v>5218</v>
      </c>
      <c r="F12">
        <v>1732</v>
      </c>
      <c r="G12">
        <f t="shared" si="0"/>
        <v>2999824</v>
      </c>
      <c r="H12">
        <v>4</v>
      </c>
      <c r="I12">
        <v>0</v>
      </c>
      <c r="J12">
        <f t="shared" si="1"/>
        <v>6356748140.7886724</v>
      </c>
      <c r="M12" s="40">
        <f t="array" ref="M12:Q16">MINVERSE(M6:Q10)</f>
        <v>5.0797536740194698</v>
      </c>
      <c r="N12" s="50">
        <v>-2.647508891436135E-5</v>
      </c>
      <c r="O12" s="50">
        <v>-3.8666244680809181E-3</v>
      </c>
      <c r="P12" s="50">
        <v>8.2646655460489858E-7</v>
      </c>
      <c r="Q12" s="41">
        <v>-0.23943445653619533</v>
      </c>
    </row>
    <row r="13" spans="2:17">
      <c r="B13">
        <f t="shared" si="2"/>
        <v>8</v>
      </c>
      <c r="C13">
        <v>275000</v>
      </c>
      <c r="D13">
        <v>1</v>
      </c>
      <c r="E13">
        <v>6114</v>
      </c>
      <c r="F13">
        <v>1932</v>
      </c>
      <c r="G13">
        <f t="shared" si="0"/>
        <v>3732624</v>
      </c>
      <c r="H13">
        <v>3</v>
      </c>
      <c r="I13">
        <v>0</v>
      </c>
      <c r="J13">
        <f t="shared" si="1"/>
        <v>1770510471.1697423</v>
      </c>
      <c r="M13" s="40">
        <v>-2.6475088914361249E-5</v>
      </c>
      <c r="N13" s="50">
        <v>1.2181593815617753E-9</v>
      </c>
      <c r="O13" s="50">
        <v>1.5184699501599703E-8</v>
      </c>
      <c r="P13" s="50">
        <v>-4.2999831157975662E-12</v>
      </c>
      <c r="Q13" s="41">
        <v>1.3645482502273116E-6</v>
      </c>
    </row>
    <row r="14" spans="2:17" ht="17.25">
      <c r="B14">
        <f t="shared" si="2"/>
        <v>9</v>
      </c>
      <c r="C14">
        <v>230000</v>
      </c>
      <c r="D14">
        <v>1</v>
      </c>
      <c r="E14">
        <v>6710</v>
      </c>
      <c r="F14">
        <v>1932</v>
      </c>
      <c r="G14">
        <f t="shared" si="0"/>
        <v>3732624</v>
      </c>
      <c r="H14">
        <v>3</v>
      </c>
      <c r="I14">
        <v>0</v>
      </c>
      <c r="J14">
        <f t="shared" si="1"/>
        <v>40992619.932217233</v>
      </c>
      <c r="L14" s="38" t="s">
        <v>94</v>
      </c>
      <c r="M14" s="40">
        <v>-3.8666244680808969E-3</v>
      </c>
      <c r="N14" s="50">
        <v>1.5184699501599683E-8</v>
      </c>
      <c r="O14" s="50">
        <v>3.6553705508350172E-6</v>
      </c>
      <c r="P14" s="50">
        <v>-7.4340596130441866E-10</v>
      </c>
      <c r="Q14" s="41">
        <v>-7.9872890613395217E-5</v>
      </c>
    </row>
    <row r="15" spans="2:17">
      <c r="B15">
        <f t="shared" si="2"/>
        <v>10</v>
      </c>
      <c r="C15">
        <v>335000</v>
      </c>
      <c r="D15">
        <v>1</v>
      </c>
      <c r="E15">
        <v>15086</v>
      </c>
      <c r="F15">
        <v>2829</v>
      </c>
      <c r="G15">
        <f t="shared" si="0"/>
        <v>8003241</v>
      </c>
      <c r="H15">
        <v>4</v>
      </c>
      <c r="I15">
        <v>0</v>
      </c>
      <c r="J15">
        <f t="shared" si="1"/>
        <v>2008237276.3608921</v>
      </c>
      <c r="M15" s="40">
        <v>8.2646655460489604E-7</v>
      </c>
      <c r="N15" s="50">
        <v>-4.2999831157975969E-12</v>
      </c>
      <c r="O15" s="50">
        <v>-7.434059613044199E-10</v>
      </c>
      <c r="P15" s="50">
        <v>1.5863194470764878E-13</v>
      </c>
      <c r="Q15" s="41">
        <v>-2.9492468570039378E-9</v>
      </c>
    </row>
    <row r="16" spans="2:17">
      <c r="B16">
        <f t="shared" si="2"/>
        <v>11</v>
      </c>
      <c r="C16">
        <v>190000</v>
      </c>
      <c r="D16">
        <v>1</v>
      </c>
      <c r="E16">
        <v>3500</v>
      </c>
      <c r="F16">
        <v>1702</v>
      </c>
      <c r="G16">
        <f t="shared" si="0"/>
        <v>2896804</v>
      </c>
      <c r="H16">
        <v>4</v>
      </c>
      <c r="I16">
        <v>0</v>
      </c>
      <c r="J16">
        <f t="shared" si="1"/>
        <v>828418767.03590894</v>
      </c>
      <c r="M16" s="40">
        <v>-0.23943445653620371</v>
      </c>
      <c r="N16" s="50">
        <v>1.3645482502273383E-6</v>
      </c>
      <c r="O16" s="50">
        <v>-7.9872890613387492E-5</v>
      </c>
      <c r="P16" s="50">
        <v>-2.9492468570055632E-9</v>
      </c>
      <c r="Q16" s="41">
        <v>0.12442422117526521</v>
      </c>
    </row>
    <row r="17" spans="2:16">
      <c r="B17">
        <f t="shared" si="2"/>
        <v>12</v>
      </c>
      <c r="C17">
        <v>225000</v>
      </c>
      <c r="D17">
        <v>1</v>
      </c>
      <c r="E17">
        <v>8880</v>
      </c>
      <c r="F17">
        <v>1421</v>
      </c>
      <c r="G17">
        <f t="shared" si="0"/>
        <v>2019241</v>
      </c>
      <c r="H17">
        <v>2</v>
      </c>
      <c r="I17">
        <v>0</v>
      </c>
      <c r="J17">
        <f t="shared" si="1"/>
        <v>12541.78166181857</v>
      </c>
    </row>
    <row r="18" spans="2:16">
      <c r="B18">
        <f t="shared" si="2"/>
        <v>13</v>
      </c>
      <c r="C18">
        <v>230000</v>
      </c>
      <c r="D18">
        <v>1</v>
      </c>
      <c r="E18">
        <v>5305</v>
      </c>
      <c r="F18">
        <v>1171</v>
      </c>
      <c r="G18">
        <f t="shared" si="0"/>
        <v>1371241</v>
      </c>
      <c r="H18">
        <v>3</v>
      </c>
      <c r="I18">
        <v>0</v>
      </c>
      <c r="J18">
        <f t="shared" si="1"/>
        <v>169343277.25124827</v>
      </c>
      <c r="M18" s="42">
        <f t="array" ref="M18:M22">MMULT(TRANSPOSE(D6:H32),C6:C32)</f>
        <v>7354000</v>
      </c>
    </row>
    <row r="19" spans="2:16">
      <c r="B19">
        <f t="shared" si="2"/>
        <v>14</v>
      </c>
      <c r="C19">
        <v>313000</v>
      </c>
      <c r="D19">
        <v>1</v>
      </c>
      <c r="E19">
        <v>1000</v>
      </c>
      <c r="F19">
        <v>2768</v>
      </c>
      <c r="G19">
        <f t="shared" si="0"/>
        <v>7661824</v>
      </c>
      <c r="H19">
        <v>3</v>
      </c>
      <c r="I19">
        <v>0</v>
      </c>
      <c r="J19">
        <f t="shared" si="1"/>
        <v>1151079257.2834923</v>
      </c>
      <c r="M19" s="42">
        <v>76516482500</v>
      </c>
    </row>
    <row r="20" spans="2:16">
      <c r="B20">
        <f t="shared" si="2"/>
        <v>15</v>
      </c>
      <c r="C20">
        <v>417500</v>
      </c>
      <c r="D20">
        <v>1</v>
      </c>
      <c r="E20">
        <v>8112</v>
      </c>
      <c r="F20">
        <v>3733</v>
      </c>
      <c r="G20">
        <f t="shared" si="0"/>
        <v>13935289</v>
      </c>
      <c r="H20">
        <v>4</v>
      </c>
      <c r="I20">
        <v>0</v>
      </c>
      <c r="J20">
        <f t="shared" si="1"/>
        <v>7070758386.129014</v>
      </c>
      <c r="L20" s="38" t="s">
        <v>95</v>
      </c>
      <c r="M20" s="42">
        <v>15837603500</v>
      </c>
    </row>
    <row r="21" spans="2:16">
      <c r="B21">
        <f t="shared" si="2"/>
        <v>16</v>
      </c>
      <c r="C21">
        <v>255000</v>
      </c>
      <c r="D21">
        <v>1</v>
      </c>
      <c r="E21">
        <v>15267</v>
      </c>
      <c r="F21">
        <v>1478</v>
      </c>
      <c r="G21">
        <f t="shared" si="0"/>
        <v>2184484</v>
      </c>
      <c r="H21">
        <v>2</v>
      </c>
      <c r="I21">
        <v>0</v>
      </c>
      <c r="J21">
        <f t="shared" si="1"/>
        <v>59137459.744999997</v>
      </c>
      <c r="M21" s="42">
        <v>38736581010500</v>
      </c>
    </row>
    <row r="22" spans="2:16">
      <c r="B22">
        <f t="shared" si="2"/>
        <v>17</v>
      </c>
      <c r="C22">
        <v>316000</v>
      </c>
      <c r="D22">
        <v>1</v>
      </c>
      <c r="E22">
        <v>5539</v>
      </c>
      <c r="F22">
        <v>2343</v>
      </c>
      <c r="G22">
        <f t="shared" si="0"/>
        <v>5489649</v>
      </c>
      <c r="H22">
        <v>4</v>
      </c>
      <c r="I22">
        <v>0</v>
      </c>
      <c r="J22">
        <f t="shared" si="1"/>
        <v>2214808637.2464294</v>
      </c>
      <c r="M22" s="42">
        <v>24480500</v>
      </c>
    </row>
    <row r="23" spans="2:16">
      <c r="B23">
        <f t="shared" si="2"/>
        <v>18</v>
      </c>
      <c r="C23">
        <v>225000</v>
      </c>
      <c r="D23">
        <v>1</v>
      </c>
      <c r="E23">
        <v>7566</v>
      </c>
      <c r="F23">
        <v>1567</v>
      </c>
      <c r="G23">
        <f t="shared" si="0"/>
        <v>2455489</v>
      </c>
      <c r="H23">
        <v>3</v>
      </c>
      <c r="I23">
        <v>0</v>
      </c>
      <c r="J23">
        <f t="shared" si="1"/>
        <v>17035678.466020968</v>
      </c>
    </row>
    <row r="24" spans="2:16">
      <c r="B24">
        <f t="shared" si="2"/>
        <v>19</v>
      </c>
      <c r="C24">
        <v>325000</v>
      </c>
      <c r="D24">
        <v>1</v>
      </c>
      <c r="E24">
        <v>10859</v>
      </c>
      <c r="F24">
        <v>2709</v>
      </c>
      <c r="G24">
        <f t="shared" si="0"/>
        <v>7338681</v>
      </c>
      <c r="H24">
        <v>4</v>
      </c>
      <c r="I24">
        <v>0</v>
      </c>
      <c r="J24">
        <f t="shared" si="1"/>
        <v>208064207.56653658</v>
      </c>
      <c r="M24" s="42">
        <f t="array" ref="M24:M28">MMULT(M12:Q16,M18:M22)</f>
        <v>245676.06396066211</v>
      </c>
      <c r="N24" s="50"/>
      <c r="O24" s="61"/>
      <c r="P24" s="50"/>
    </row>
    <row r="25" spans="2:16">
      <c r="B25">
        <f t="shared" si="2"/>
        <v>20</v>
      </c>
      <c r="C25">
        <v>215000</v>
      </c>
      <c r="D25">
        <v>1</v>
      </c>
      <c r="E25">
        <v>11554</v>
      </c>
      <c r="F25">
        <v>1694</v>
      </c>
      <c r="G25">
        <f t="shared" si="0"/>
        <v>2869636</v>
      </c>
      <c r="H25">
        <v>3</v>
      </c>
      <c r="I25">
        <v>0</v>
      </c>
      <c r="J25">
        <f t="shared" si="1"/>
        <v>1619367840.4177074</v>
      </c>
      <c r="M25" s="42">
        <v>5.8388962290685882</v>
      </c>
      <c r="N25" s="50"/>
      <c r="O25" s="50"/>
      <c r="P25" s="50"/>
    </row>
    <row r="26" spans="2:16">
      <c r="B26">
        <f t="shared" si="2"/>
        <v>21</v>
      </c>
      <c r="C26">
        <v>725000</v>
      </c>
      <c r="D26">
        <v>1</v>
      </c>
      <c r="E26">
        <v>31000</v>
      </c>
      <c r="F26">
        <v>3662</v>
      </c>
      <c r="G26">
        <f t="shared" si="0"/>
        <v>13410244</v>
      </c>
      <c r="H26">
        <v>5</v>
      </c>
      <c r="I26">
        <v>0</v>
      </c>
      <c r="J26">
        <f t="shared" si="1"/>
        <v>9028364968.6546268</v>
      </c>
      <c r="L26" s="39" t="s">
        <v>96</v>
      </c>
      <c r="M26" s="42">
        <v>-133.3006573018688</v>
      </c>
      <c r="N26" s="50"/>
      <c r="O26" s="50"/>
      <c r="P26" s="50"/>
    </row>
    <row r="27" spans="2:16">
      <c r="B27">
        <f t="shared" si="2"/>
        <v>22</v>
      </c>
      <c r="C27">
        <v>306000</v>
      </c>
      <c r="D27">
        <v>1</v>
      </c>
      <c r="E27">
        <v>20700</v>
      </c>
      <c r="F27">
        <v>2205</v>
      </c>
      <c r="G27">
        <f t="shared" si="0"/>
        <v>4862025</v>
      </c>
      <c r="H27">
        <v>2</v>
      </c>
      <c r="I27">
        <v>0</v>
      </c>
      <c r="J27">
        <f t="shared" si="1"/>
        <v>370177517.7214846</v>
      </c>
      <c r="M27" s="42">
        <v>4.7706744396546694E-2</v>
      </c>
      <c r="N27" s="50"/>
    </row>
    <row r="28" spans="2:16">
      <c r="B28">
        <f t="shared" si="2"/>
        <v>23</v>
      </c>
      <c r="C28">
        <v>425000</v>
      </c>
      <c r="D28">
        <v>1</v>
      </c>
      <c r="E28">
        <v>5525</v>
      </c>
      <c r="F28">
        <v>1502</v>
      </c>
      <c r="G28">
        <f t="shared" si="0"/>
        <v>2256004</v>
      </c>
      <c r="H28">
        <v>3</v>
      </c>
      <c r="I28">
        <v>0</v>
      </c>
      <c r="J28">
        <f t="shared" si="1"/>
        <v>43531481817.79921</v>
      </c>
      <c r="M28" s="42">
        <v>10337.67369270185</v>
      </c>
      <c r="N28" s="50"/>
      <c r="O28" s="50"/>
      <c r="P28" s="50"/>
    </row>
    <row r="29" spans="2:16">
      <c r="B29">
        <f t="shared" si="2"/>
        <v>24</v>
      </c>
      <c r="C29">
        <v>225000</v>
      </c>
      <c r="D29">
        <v>1</v>
      </c>
      <c r="E29">
        <v>18838</v>
      </c>
      <c r="F29">
        <v>1294</v>
      </c>
      <c r="G29">
        <f t="shared" si="0"/>
        <v>1674436</v>
      </c>
      <c r="H29">
        <v>3</v>
      </c>
      <c r="I29">
        <v>0</v>
      </c>
      <c r="J29">
        <f t="shared" si="1"/>
        <v>4771086500.6753979</v>
      </c>
    </row>
    <row r="30" spans="2:16">
      <c r="B30">
        <f t="shared" si="2"/>
        <v>25</v>
      </c>
      <c r="C30">
        <v>236000</v>
      </c>
      <c r="D30">
        <v>1</v>
      </c>
      <c r="E30">
        <v>5828</v>
      </c>
      <c r="F30">
        <v>1715</v>
      </c>
      <c r="G30">
        <f t="shared" si="0"/>
        <v>2941225</v>
      </c>
      <c r="H30">
        <v>3</v>
      </c>
      <c r="I30">
        <v>0</v>
      </c>
      <c r="J30">
        <f t="shared" si="1"/>
        <v>184312818.79061732</v>
      </c>
    </row>
    <row r="31" spans="2:16">
      <c r="B31">
        <f t="shared" si="2"/>
        <v>26</v>
      </c>
      <c r="C31">
        <v>202500</v>
      </c>
      <c r="D31">
        <v>1</v>
      </c>
      <c r="E31">
        <v>6341</v>
      </c>
      <c r="F31">
        <v>1574</v>
      </c>
      <c r="G31">
        <f t="shared" si="0"/>
        <v>2477476</v>
      </c>
      <c r="H31">
        <v>3</v>
      </c>
      <c r="I31">
        <v>0</v>
      </c>
      <c r="J31">
        <f t="shared" si="1"/>
        <v>383791832.26997304</v>
      </c>
    </row>
    <row r="32" spans="2:16">
      <c r="B32">
        <f t="shared" si="2"/>
        <v>27</v>
      </c>
      <c r="C32">
        <v>219000</v>
      </c>
      <c r="D32">
        <v>1</v>
      </c>
      <c r="E32">
        <v>6362</v>
      </c>
      <c r="F32">
        <v>1185</v>
      </c>
      <c r="G32">
        <f t="shared" si="0"/>
        <v>1404225</v>
      </c>
      <c r="H32">
        <v>2</v>
      </c>
      <c r="I32">
        <v>0</v>
      </c>
      <c r="J32">
        <f t="shared" si="1"/>
        <v>41884280.629924886</v>
      </c>
    </row>
    <row r="33" spans="2:25">
      <c r="J33" s="53">
        <f>SUM(J6:J32)</f>
        <v>83988291240.447311</v>
      </c>
    </row>
    <row r="35" spans="2:25" ht="17.25">
      <c r="C35" s="63" t="s">
        <v>140</v>
      </c>
      <c r="D35" s="63" t="s">
        <v>92</v>
      </c>
      <c r="E35" s="63" t="s">
        <v>138</v>
      </c>
      <c r="F35" s="63" t="s">
        <v>139</v>
      </c>
      <c r="G35" s="63" t="s">
        <v>142</v>
      </c>
      <c r="H35" s="63" t="s">
        <v>141</v>
      </c>
      <c r="I35" s="67" t="s">
        <v>174</v>
      </c>
      <c r="J35" s="67" t="s">
        <v>115</v>
      </c>
    </row>
    <row r="36" spans="2:25">
      <c r="B36">
        <f>B32+1</f>
        <v>28</v>
      </c>
      <c r="C36">
        <v>300000</v>
      </c>
      <c r="D36">
        <v>1</v>
      </c>
      <c r="E36">
        <v>6126</v>
      </c>
      <c r="F36">
        <v>2438</v>
      </c>
      <c r="G36">
        <f t="shared" ref="G36:G73" si="3">F36^2</f>
        <v>5943844</v>
      </c>
      <c r="H36">
        <v>4</v>
      </c>
      <c r="I36">
        <v>1</v>
      </c>
      <c r="J36" s="77">
        <f>(C36-M$54-M$55*E36-M$56*F36-M$57*G36-M$58*H36)^2</f>
        <v>2635257617.8846374</v>
      </c>
      <c r="L36" s="38"/>
      <c r="M36" s="40">
        <f t="array" ref="M36:Q40">MMULT(TRANSPOSE(D36:H96),D36:H96)</f>
        <v>61</v>
      </c>
      <c r="N36" s="50">
        <v>555967</v>
      </c>
      <c r="O36" s="50">
        <v>124359</v>
      </c>
      <c r="P36" s="50">
        <v>270789985</v>
      </c>
      <c r="Q36" s="41">
        <v>228</v>
      </c>
    </row>
    <row r="37" spans="2:25">
      <c r="B37">
        <f t="shared" ref="B37:B74" si="4">B36+1</f>
        <v>29</v>
      </c>
      <c r="C37">
        <v>370000</v>
      </c>
      <c r="D37">
        <v>1</v>
      </c>
      <c r="E37">
        <v>9903</v>
      </c>
      <c r="F37">
        <v>2076</v>
      </c>
      <c r="G37">
        <f t="shared" si="3"/>
        <v>4309776</v>
      </c>
      <c r="H37">
        <v>3</v>
      </c>
      <c r="I37">
        <v>1</v>
      </c>
      <c r="J37" s="77">
        <f t="shared" ref="J37:J96" si="5">(C37-M$54-M$55*E37-M$56*F37-M$57*G37-M$58*H37)^2</f>
        <v>5303995811.5220957</v>
      </c>
      <c r="M37" s="40">
        <v>555967</v>
      </c>
      <c r="N37" s="50">
        <v>12995691927</v>
      </c>
      <c r="O37" s="50">
        <v>1184280086</v>
      </c>
      <c r="P37" s="50">
        <v>2730403142612</v>
      </c>
      <c r="Q37" s="41">
        <v>2155397</v>
      </c>
    </row>
    <row r="38" spans="2:25" ht="17.25">
      <c r="B38">
        <f t="shared" si="4"/>
        <v>30</v>
      </c>
      <c r="C38">
        <v>195000</v>
      </c>
      <c r="D38">
        <v>1</v>
      </c>
      <c r="E38">
        <v>4600</v>
      </c>
      <c r="F38">
        <v>1448</v>
      </c>
      <c r="G38">
        <f t="shared" si="3"/>
        <v>2096704</v>
      </c>
      <c r="H38">
        <v>3</v>
      </c>
      <c r="I38">
        <v>1</v>
      </c>
      <c r="J38" s="77">
        <f t="shared" si="5"/>
        <v>316960609.7861039</v>
      </c>
      <c r="L38" s="38" t="s">
        <v>93</v>
      </c>
      <c r="M38" s="40">
        <v>124359</v>
      </c>
      <c r="N38" s="50">
        <v>1184280086</v>
      </c>
      <c r="O38" s="50">
        <v>270789985</v>
      </c>
      <c r="P38" s="50">
        <v>635870879439</v>
      </c>
      <c r="Q38" s="41">
        <v>478134</v>
      </c>
      <c r="T38" s="78" t="s">
        <v>176</v>
      </c>
      <c r="V38">
        <f>'Ex7'!H92</f>
        <v>287887238913.026</v>
      </c>
      <c r="X38" s="38" t="s">
        <v>92</v>
      </c>
      <c r="Y38">
        <v>88</v>
      </c>
    </row>
    <row r="39" spans="2:25" ht="17.25">
      <c r="B39">
        <f t="shared" si="4"/>
        <v>31</v>
      </c>
      <c r="C39">
        <v>373000</v>
      </c>
      <c r="D39">
        <v>1</v>
      </c>
      <c r="E39">
        <v>6095</v>
      </c>
      <c r="F39">
        <v>2514</v>
      </c>
      <c r="G39">
        <f t="shared" si="3"/>
        <v>6320196</v>
      </c>
      <c r="H39">
        <v>4</v>
      </c>
      <c r="I39">
        <v>1</v>
      </c>
      <c r="J39" s="77">
        <f t="shared" si="5"/>
        <v>128454649.3248786</v>
      </c>
      <c r="M39" s="40">
        <v>270789985</v>
      </c>
      <c r="N39" s="50">
        <v>2730403142612</v>
      </c>
      <c r="O39" s="50">
        <v>635870879439</v>
      </c>
      <c r="P39" s="50">
        <v>1618486011310321</v>
      </c>
      <c r="Q39" s="41">
        <v>1079795396</v>
      </c>
      <c r="T39" s="78" t="s">
        <v>177</v>
      </c>
      <c r="V39">
        <f>J97</f>
        <v>167587973340.16119</v>
      </c>
      <c r="X39" s="38" t="s">
        <v>179</v>
      </c>
      <c r="Y39">
        <v>5</v>
      </c>
    </row>
    <row r="40" spans="2:25" ht="17.25">
      <c r="B40">
        <f t="shared" si="4"/>
        <v>32</v>
      </c>
      <c r="C40">
        <v>466275</v>
      </c>
      <c r="D40">
        <v>1</v>
      </c>
      <c r="E40">
        <v>8566</v>
      </c>
      <c r="F40">
        <v>2754</v>
      </c>
      <c r="G40">
        <f t="shared" si="3"/>
        <v>7584516</v>
      </c>
      <c r="H40">
        <v>5</v>
      </c>
      <c r="I40">
        <v>1</v>
      </c>
      <c r="J40" s="77">
        <f t="shared" si="5"/>
        <v>3082076588.6339245</v>
      </c>
      <c r="M40" s="40">
        <v>228</v>
      </c>
      <c r="N40" s="50">
        <v>2155397</v>
      </c>
      <c r="O40" s="50">
        <v>478134</v>
      </c>
      <c r="P40" s="50">
        <v>1079795396</v>
      </c>
      <c r="Q40" s="41">
        <v>894</v>
      </c>
      <c r="T40" s="78" t="s">
        <v>178</v>
      </c>
      <c r="V40">
        <f>J33</f>
        <v>83988291240.447311</v>
      </c>
    </row>
    <row r="41" spans="2:25">
      <c r="B41">
        <f t="shared" si="4"/>
        <v>33</v>
      </c>
      <c r="C41">
        <v>332500</v>
      </c>
      <c r="D41">
        <v>1</v>
      </c>
      <c r="E41">
        <v>9000</v>
      </c>
      <c r="F41">
        <v>2067</v>
      </c>
      <c r="G41">
        <f t="shared" si="3"/>
        <v>4272489</v>
      </c>
      <c r="H41">
        <v>3</v>
      </c>
      <c r="I41">
        <v>1</v>
      </c>
      <c r="J41" s="77">
        <f t="shared" si="5"/>
        <v>1429657650.401705</v>
      </c>
    </row>
    <row r="42" spans="2:25">
      <c r="B42">
        <f t="shared" si="4"/>
        <v>34</v>
      </c>
      <c r="C42">
        <v>315000</v>
      </c>
      <c r="D42">
        <v>1</v>
      </c>
      <c r="E42">
        <v>6210</v>
      </c>
      <c r="F42">
        <v>1731</v>
      </c>
      <c r="G42">
        <f t="shared" si="3"/>
        <v>2996361</v>
      </c>
      <c r="H42">
        <v>3</v>
      </c>
      <c r="I42">
        <v>1</v>
      </c>
      <c r="J42" s="77">
        <f t="shared" si="5"/>
        <v>4398749433.1764154</v>
      </c>
      <c r="M42" s="40">
        <f t="array" ref="M42:Q46">MINVERSE(M36:Q40)</f>
        <v>3.9282202602635494</v>
      </c>
      <c r="N42" s="50">
        <v>-1.0164056522948631E-6</v>
      </c>
      <c r="O42" s="50">
        <v>-3.035634376763682E-3</v>
      </c>
      <c r="P42" s="50">
        <v>6.2161278845420291E-7</v>
      </c>
      <c r="Q42" s="41">
        <v>-0.12664214945681637</v>
      </c>
      <c r="T42" s="78" t="s">
        <v>180</v>
      </c>
      <c r="U42">
        <f>(V38-V39-V40)/(V39+V40)*(Y38-2*Y39)/Y39</f>
        <v>2.251608276838112</v>
      </c>
    </row>
    <row r="43" spans="2:25">
      <c r="B43">
        <f t="shared" si="4"/>
        <v>35</v>
      </c>
      <c r="C43">
        <v>285000</v>
      </c>
      <c r="D43">
        <v>1</v>
      </c>
      <c r="E43">
        <v>6000</v>
      </c>
      <c r="F43">
        <v>2336</v>
      </c>
      <c r="G43">
        <f t="shared" si="3"/>
        <v>5456896</v>
      </c>
      <c r="H43">
        <v>4</v>
      </c>
      <c r="I43">
        <v>1</v>
      </c>
      <c r="J43" s="77">
        <f t="shared" si="5"/>
        <v>2746618173.0557427</v>
      </c>
      <c r="M43" s="40">
        <v>-1.0164056522948114E-6</v>
      </c>
      <c r="N43" s="50">
        <v>1.2958021013507527E-10</v>
      </c>
      <c r="O43" s="50">
        <v>5.4338244792376084E-10</v>
      </c>
      <c r="P43" s="50">
        <v>-1.6816285973964382E-13</v>
      </c>
      <c r="Q43" s="41">
        <v>-1.4069848891701402E-7</v>
      </c>
    </row>
    <row r="44" spans="2:25" ht="17.25">
      <c r="B44">
        <f t="shared" si="4"/>
        <v>36</v>
      </c>
      <c r="C44">
        <v>300000</v>
      </c>
      <c r="D44">
        <v>1</v>
      </c>
      <c r="E44">
        <v>7047</v>
      </c>
      <c r="F44">
        <v>2634</v>
      </c>
      <c r="G44">
        <f t="shared" si="3"/>
        <v>6937956</v>
      </c>
      <c r="H44">
        <v>5</v>
      </c>
      <c r="I44">
        <v>1</v>
      </c>
      <c r="J44" s="77">
        <f t="shared" si="5"/>
        <v>8391385077.648344</v>
      </c>
      <c r="L44" s="38" t="s">
        <v>94</v>
      </c>
      <c r="M44" s="40">
        <v>-3.035634376763689E-3</v>
      </c>
      <c r="N44" s="50">
        <v>5.4338244792379992E-10</v>
      </c>
      <c r="O44" s="50">
        <v>2.5826450274972549E-6</v>
      </c>
      <c r="P44" s="50">
        <v>-5.2424448030097209E-10</v>
      </c>
      <c r="Q44" s="41">
        <v>2.4809632700272391E-5</v>
      </c>
    </row>
    <row r="45" spans="2:25">
      <c r="B45">
        <f t="shared" si="4"/>
        <v>37</v>
      </c>
      <c r="C45">
        <v>405000</v>
      </c>
      <c r="D45">
        <v>1</v>
      </c>
      <c r="E45">
        <v>12237</v>
      </c>
      <c r="F45">
        <v>3375</v>
      </c>
      <c r="G45">
        <f t="shared" si="3"/>
        <v>11390625</v>
      </c>
      <c r="H45">
        <v>3</v>
      </c>
      <c r="I45">
        <v>1</v>
      </c>
      <c r="J45" s="77">
        <f t="shared" si="5"/>
        <v>6336620133.3756323</v>
      </c>
      <c r="M45" s="40">
        <v>6.2161278845420407E-7</v>
      </c>
      <c r="N45" s="50">
        <v>-1.681628597396527E-13</v>
      </c>
      <c r="O45" s="50">
        <v>-5.2424448030097198E-10</v>
      </c>
      <c r="P45" s="50">
        <v>1.0969947274587357E-13</v>
      </c>
      <c r="Q45" s="41">
        <v>-1.0245115564386064E-8</v>
      </c>
    </row>
    <row r="46" spans="2:25">
      <c r="B46">
        <f t="shared" si="4"/>
        <v>38</v>
      </c>
      <c r="C46">
        <v>265000</v>
      </c>
      <c r="D46">
        <v>1</v>
      </c>
      <c r="E46">
        <v>6519</v>
      </c>
      <c r="F46">
        <v>2312</v>
      </c>
      <c r="G46">
        <f t="shared" si="3"/>
        <v>5345344</v>
      </c>
      <c r="H46">
        <v>3</v>
      </c>
      <c r="I46">
        <v>1</v>
      </c>
      <c r="J46" s="77">
        <f t="shared" si="5"/>
        <v>3370537093.3074822</v>
      </c>
      <c r="M46" s="40">
        <v>-0.12664214945681412</v>
      </c>
      <c r="N46" s="50">
        <v>-1.4069848891701277E-7</v>
      </c>
      <c r="O46" s="50">
        <v>2.4809632700270382E-5</v>
      </c>
      <c r="P46" s="50">
        <v>-1.024511556438565E-8</v>
      </c>
      <c r="Q46" s="41">
        <v>3.2861264959139123E-2</v>
      </c>
    </row>
    <row r="47" spans="2:25">
      <c r="B47">
        <f t="shared" si="4"/>
        <v>39</v>
      </c>
      <c r="C47">
        <v>227400</v>
      </c>
      <c r="D47">
        <v>1</v>
      </c>
      <c r="E47">
        <v>3597</v>
      </c>
      <c r="F47">
        <v>1760</v>
      </c>
      <c r="G47">
        <f t="shared" si="3"/>
        <v>3097600</v>
      </c>
      <c r="H47">
        <v>4</v>
      </c>
      <c r="I47">
        <v>1</v>
      </c>
      <c r="J47" s="77">
        <f t="shared" si="5"/>
        <v>1080645853.2558019</v>
      </c>
    </row>
    <row r="48" spans="2:25">
      <c r="B48">
        <f t="shared" si="4"/>
        <v>40</v>
      </c>
      <c r="C48">
        <v>285000</v>
      </c>
      <c r="D48">
        <v>1</v>
      </c>
      <c r="E48">
        <v>7123</v>
      </c>
      <c r="F48">
        <v>1774</v>
      </c>
      <c r="G48">
        <f t="shared" si="3"/>
        <v>3147076</v>
      </c>
      <c r="H48">
        <v>3</v>
      </c>
      <c r="I48">
        <v>1</v>
      </c>
      <c r="J48" s="77">
        <f t="shared" si="5"/>
        <v>884822782.16840112</v>
      </c>
      <c r="M48" s="42">
        <f t="array" ref="M48:M52">MMULT(TRANSPOSE(D36:H96),C36:C96)</f>
        <v>18478051</v>
      </c>
    </row>
    <row r="49" spans="2:16">
      <c r="B49">
        <f t="shared" si="4"/>
        <v>41</v>
      </c>
      <c r="C49">
        <v>268000</v>
      </c>
      <c r="D49">
        <v>1</v>
      </c>
      <c r="E49">
        <v>5642</v>
      </c>
      <c r="F49">
        <v>1376</v>
      </c>
      <c r="G49">
        <f t="shared" si="3"/>
        <v>1893376</v>
      </c>
      <c r="H49">
        <v>3</v>
      </c>
      <c r="I49">
        <v>1</v>
      </c>
      <c r="J49" s="77">
        <f t="shared" si="5"/>
        <v>3834974497.8404617</v>
      </c>
      <c r="M49" s="42">
        <v>188044582725</v>
      </c>
    </row>
    <row r="50" spans="2:16">
      <c r="B50">
        <f t="shared" si="4"/>
        <v>42</v>
      </c>
      <c r="C50">
        <v>310000</v>
      </c>
      <c r="D50">
        <v>1</v>
      </c>
      <c r="E50">
        <v>8602</v>
      </c>
      <c r="F50">
        <v>1835</v>
      </c>
      <c r="G50">
        <f t="shared" si="3"/>
        <v>3367225</v>
      </c>
      <c r="H50">
        <v>4</v>
      </c>
      <c r="I50">
        <v>1</v>
      </c>
      <c r="J50" s="77">
        <f t="shared" si="5"/>
        <v>1100092319.7345042</v>
      </c>
      <c r="L50" s="38" t="s">
        <v>95</v>
      </c>
      <c r="M50" s="42">
        <v>40244104954</v>
      </c>
    </row>
    <row r="51" spans="2:16">
      <c r="B51">
        <f t="shared" si="4"/>
        <v>43</v>
      </c>
      <c r="C51">
        <v>266000</v>
      </c>
      <c r="D51">
        <v>1</v>
      </c>
      <c r="E51">
        <v>5494</v>
      </c>
      <c r="F51">
        <v>2048</v>
      </c>
      <c r="G51">
        <f t="shared" si="3"/>
        <v>4194304</v>
      </c>
      <c r="H51">
        <v>3</v>
      </c>
      <c r="I51">
        <v>1</v>
      </c>
      <c r="J51" s="77">
        <f t="shared" si="5"/>
        <v>445287606.43805337</v>
      </c>
      <c r="M51" s="42">
        <v>94677511010466</v>
      </c>
    </row>
    <row r="52" spans="2:16">
      <c r="B52">
        <f t="shared" si="4"/>
        <v>44</v>
      </c>
      <c r="C52">
        <v>270000</v>
      </c>
      <c r="D52">
        <v>1</v>
      </c>
      <c r="E52">
        <v>7800</v>
      </c>
      <c r="F52">
        <v>2124</v>
      </c>
      <c r="G52">
        <f t="shared" si="3"/>
        <v>4511376</v>
      </c>
      <c r="H52">
        <v>3</v>
      </c>
      <c r="I52">
        <v>1</v>
      </c>
      <c r="J52" s="77">
        <f t="shared" si="5"/>
        <v>915871358.78360426</v>
      </c>
      <c r="M52" s="42">
        <v>71513104</v>
      </c>
    </row>
    <row r="53" spans="2:16">
      <c r="B53">
        <f t="shared" si="4"/>
        <v>45</v>
      </c>
      <c r="C53">
        <v>247000</v>
      </c>
      <c r="D53">
        <v>1</v>
      </c>
      <c r="E53">
        <v>9425</v>
      </c>
      <c r="F53">
        <v>1440</v>
      </c>
      <c r="G53">
        <f t="shared" si="3"/>
        <v>2073600</v>
      </c>
      <c r="H53">
        <v>3</v>
      </c>
      <c r="I53">
        <v>1</v>
      </c>
      <c r="J53" s="77">
        <f t="shared" si="5"/>
        <v>785368627.68853056</v>
      </c>
    </row>
    <row r="54" spans="2:16">
      <c r="B54">
        <f t="shared" si="4"/>
        <v>46</v>
      </c>
      <c r="C54">
        <v>343000</v>
      </c>
      <c r="D54">
        <v>1</v>
      </c>
      <c r="E54">
        <v>8577</v>
      </c>
      <c r="F54">
        <v>2106</v>
      </c>
      <c r="G54">
        <f t="shared" si="3"/>
        <v>4435236</v>
      </c>
      <c r="H54">
        <v>3</v>
      </c>
      <c r="I54">
        <v>1</v>
      </c>
      <c r="J54" s="77">
        <f t="shared" si="5"/>
        <v>1928853875.5750544</v>
      </c>
      <c r="M54" s="42">
        <f t="array" ref="M54:M58">MMULT(M42:Q46,M48:M52)</f>
        <v>24514.689400432631</v>
      </c>
      <c r="N54" s="50"/>
      <c r="O54" s="61" t="s">
        <v>114</v>
      </c>
      <c r="P54" s="50">
        <f>(I127/(COUNT(D36:D126)-5))^0.5</f>
        <v>0</v>
      </c>
    </row>
    <row r="55" spans="2:16">
      <c r="B55">
        <f t="shared" si="4"/>
        <v>47</v>
      </c>
      <c r="C55">
        <v>477500</v>
      </c>
      <c r="D55">
        <v>1</v>
      </c>
      <c r="E55">
        <v>8400</v>
      </c>
      <c r="F55">
        <v>3529</v>
      </c>
      <c r="G55">
        <f t="shared" si="3"/>
        <v>12453841</v>
      </c>
      <c r="H55">
        <v>7</v>
      </c>
      <c r="I55">
        <v>1</v>
      </c>
      <c r="J55" s="77">
        <f t="shared" si="5"/>
        <v>5360437828.4277525</v>
      </c>
      <c r="M55" s="42">
        <v>1.4705746537646771</v>
      </c>
      <c r="N55" s="50"/>
      <c r="O55" s="50"/>
      <c r="P55" s="50"/>
    </row>
    <row r="56" spans="2:16">
      <c r="B56">
        <f t="shared" si="4"/>
        <v>48</v>
      </c>
      <c r="C56">
        <v>350000</v>
      </c>
      <c r="D56">
        <v>1</v>
      </c>
      <c r="E56">
        <v>9773</v>
      </c>
      <c r="F56">
        <v>2051</v>
      </c>
      <c r="G56">
        <f t="shared" si="3"/>
        <v>4206601</v>
      </c>
      <c r="H56">
        <v>4</v>
      </c>
      <c r="I56">
        <v>1</v>
      </c>
      <c r="J56" s="77">
        <f t="shared" si="5"/>
        <v>1963318159.1743364</v>
      </c>
      <c r="L56" s="39" t="s">
        <v>96</v>
      </c>
      <c r="M56" s="42">
        <v>85.86212763807498</v>
      </c>
      <c r="N56" s="50"/>
      <c r="O56" s="50"/>
      <c r="P56" s="50"/>
    </row>
    <row r="57" spans="2:16">
      <c r="B57">
        <f t="shared" si="4"/>
        <v>49</v>
      </c>
      <c r="C57">
        <v>230000</v>
      </c>
      <c r="D57">
        <v>1</v>
      </c>
      <c r="E57">
        <v>4806</v>
      </c>
      <c r="F57">
        <v>1573</v>
      </c>
      <c r="G57">
        <f t="shared" si="3"/>
        <v>2474329</v>
      </c>
      <c r="H57">
        <v>4</v>
      </c>
      <c r="I57">
        <v>1</v>
      </c>
      <c r="J57" s="77">
        <f t="shared" si="5"/>
        <v>92475841.163741827</v>
      </c>
      <c r="M57" s="42">
        <v>1.0233829623707114E-2</v>
      </c>
      <c r="N57" s="50"/>
    </row>
    <row r="58" spans="2:16">
      <c r="B58">
        <f t="shared" si="4"/>
        <v>50</v>
      </c>
      <c r="C58">
        <v>251000</v>
      </c>
      <c r="D58">
        <v>1</v>
      </c>
      <c r="E58">
        <v>5763</v>
      </c>
      <c r="F58">
        <v>1630</v>
      </c>
      <c r="G58">
        <f t="shared" si="3"/>
        <v>2656900</v>
      </c>
      <c r="H58">
        <v>3</v>
      </c>
      <c r="I58">
        <v>1</v>
      </c>
      <c r="J58" s="77">
        <f t="shared" si="5"/>
        <v>228810289.32872841</v>
      </c>
      <c r="M58" s="42">
        <v>11912.794152652845</v>
      </c>
      <c r="N58" s="50"/>
      <c r="O58" s="50"/>
      <c r="P58" s="50"/>
    </row>
    <row r="59" spans="2:16">
      <c r="B59">
        <f t="shared" si="4"/>
        <v>51</v>
      </c>
      <c r="C59">
        <v>235000</v>
      </c>
      <c r="D59">
        <v>1</v>
      </c>
      <c r="E59">
        <v>6383</v>
      </c>
      <c r="F59">
        <v>1840</v>
      </c>
      <c r="G59">
        <f t="shared" si="3"/>
        <v>3385600</v>
      </c>
      <c r="H59">
        <v>4</v>
      </c>
      <c r="I59">
        <v>1</v>
      </c>
      <c r="J59" s="77">
        <f t="shared" si="5"/>
        <v>1535582758.3157043</v>
      </c>
    </row>
    <row r="60" spans="2:16">
      <c r="B60">
        <f t="shared" si="4"/>
        <v>52</v>
      </c>
      <c r="C60">
        <v>361000</v>
      </c>
      <c r="D60">
        <v>1</v>
      </c>
      <c r="E60">
        <v>9000</v>
      </c>
      <c r="F60">
        <v>2066</v>
      </c>
      <c r="G60">
        <f t="shared" si="3"/>
        <v>4268356</v>
      </c>
      <c r="H60">
        <v>4</v>
      </c>
      <c r="I60">
        <v>1</v>
      </c>
      <c r="J60" s="77">
        <f t="shared" si="5"/>
        <v>2973104123.0004778</v>
      </c>
    </row>
    <row r="61" spans="2:16">
      <c r="B61">
        <f t="shared" si="4"/>
        <v>53</v>
      </c>
      <c r="C61">
        <v>360000</v>
      </c>
      <c r="D61">
        <v>1</v>
      </c>
      <c r="E61">
        <v>10892</v>
      </c>
      <c r="F61">
        <v>2750</v>
      </c>
      <c r="G61">
        <f t="shared" si="3"/>
        <v>7562500</v>
      </c>
      <c r="H61">
        <v>4</v>
      </c>
      <c r="I61">
        <v>1</v>
      </c>
      <c r="J61" s="77">
        <f t="shared" si="5"/>
        <v>1738685898.987674</v>
      </c>
    </row>
    <row r="62" spans="2:16">
      <c r="B62">
        <f t="shared" si="4"/>
        <v>54</v>
      </c>
      <c r="C62">
        <v>575000</v>
      </c>
      <c r="D62">
        <v>1</v>
      </c>
      <c r="E62">
        <v>15634</v>
      </c>
      <c r="F62">
        <v>3880</v>
      </c>
      <c r="G62">
        <f t="shared" si="3"/>
        <v>15054400</v>
      </c>
      <c r="H62">
        <v>5</v>
      </c>
      <c r="I62">
        <v>1</v>
      </c>
      <c r="J62" s="77">
        <f t="shared" si="5"/>
        <v>371673834.59479392</v>
      </c>
    </row>
    <row r="63" spans="2:16">
      <c r="B63">
        <f t="shared" si="4"/>
        <v>55</v>
      </c>
      <c r="C63">
        <v>209001</v>
      </c>
      <c r="D63">
        <v>1</v>
      </c>
      <c r="E63">
        <v>6400</v>
      </c>
      <c r="F63">
        <v>1854</v>
      </c>
      <c r="G63">
        <f t="shared" si="3"/>
        <v>3437316</v>
      </c>
      <c r="H63">
        <v>4</v>
      </c>
      <c r="I63">
        <v>1</v>
      </c>
      <c r="J63" s="77">
        <f t="shared" si="5"/>
        <v>4481209238.7552958</v>
      </c>
    </row>
    <row r="64" spans="2:16">
      <c r="B64">
        <f t="shared" si="4"/>
        <v>56</v>
      </c>
      <c r="C64">
        <v>246000</v>
      </c>
      <c r="D64">
        <v>1</v>
      </c>
      <c r="E64">
        <v>6314</v>
      </c>
      <c r="F64">
        <v>1662</v>
      </c>
      <c r="G64">
        <f t="shared" si="3"/>
        <v>2762244</v>
      </c>
      <c r="H64">
        <v>3</v>
      </c>
      <c r="I64">
        <v>1</v>
      </c>
      <c r="J64" s="77">
        <f t="shared" si="5"/>
        <v>30145910.546314981</v>
      </c>
    </row>
    <row r="65" spans="2:10">
      <c r="B65">
        <f t="shared" si="4"/>
        <v>57</v>
      </c>
      <c r="C65">
        <v>713500</v>
      </c>
      <c r="D65">
        <v>1</v>
      </c>
      <c r="E65">
        <v>28231</v>
      </c>
      <c r="F65">
        <v>3331</v>
      </c>
      <c r="G65">
        <f t="shared" si="3"/>
        <v>11095561</v>
      </c>
      <c r="H65">
        <v>5</v>
      </c>
      <c r="I65">
        <v>1</v>
      </c>
      <c r="J65" s="77">
        <f t="shared" si="5"/>
        <v>35475239862.298843</v>
      </c>
    </row>
    <row r="66" spans="2:10">
      <c r="B66">
        <f t="shared" si="4"/>
        <v>58</v>
      </c>
      <c r="C66">
        <v>248000</v>
      </c>
      <c r="D66">
        <v>1</v>
      </c>
      <c r="E66">
        <v>7050</v>
      </c>
      <c r="F66">
        <v>1656</v>
      </c>
      <c r="G66">
        <f t="shared" si="3"/>
        <v>2742336</v>
      </c>
      <c r="H66">
        <v>4</v>
      </c>
      <c r="I66">
        <v>1</v>
      </c>
      <c r="J66" s="77">
        <f t="shared" si="5"/>
        <v>22902925.291084208</v>
      </c>
    </row>
    <row r="67" spans="2:10">
      <c r="B67">
        <f t="shared" si="4"/>
        <v>59</v>
      </c>
      <c r="C67">
        <v>375000</v>
      </c>
      <c r="D67">
        <v>1</v>
      </c>
      <c r="E67">
        <v>6637</v>
      </c>
      <c r="F67">
        <v>2293</v>
      </c>
      <c r="G67">
        <f t="shared" si="3"/>
        <v>5257849</v>
      </c>
      <c r="H67">
        <v>5</v>
      </c>
      <c r="I67">
        <v>1</v>
      </c>
      <c r="J67" s="77">
        <f t="shared" si="5"/>
        <v>928502947.28360617</v>
      </c>
    </row>
    <row r="68" spans="2:10">
      <c r="B68">
        <f t="shared" si="4"/>
        <v>60</v>
      </c>
      <c r="C68">
        <v>265000</v>
      </c>
      <c r="D68">
        <v>1</v>
      </c>
      <c r="E68">
        <v>7834</v>
      </c>
      <c r="F68">
        <v>1764</v>
      </c>
      <c r="G68">
        <f t="shared" si="3"/>
        <v>3111696</v>
      </c>
      <c r="H68">
        <v>3</v>
      </c>
      <c r="I68">
        <v>1</v>
      </c>
      <c r="J68" s="77">
        <f t="shared" si="5"/>
        <v>98427956.262678027</v>
      </c>
    </row>
    <row r="69" spans="2:10">
      <c r="B69">
        <f t="shared" si="4"/>
        <v>61</v>
      </c>
      <c r="C69">
        <v>253000</v>
      </c>
      <c r="D69">
        <v>1</v>
      </c>
      <c r="E69">
        <v>5850</v>
      </c>
      <c r="F69">
        <v>1536</v>
      </c>
      <c r="G69">
        <f t="shared" si="3"/>
        <v>2359296</v>
      </c>
      <c r="H69">
        <v>3</v>
      </c>
      <c r="I69">
        <v>1</v>
      </c>
      <c r="J69" s="77">
        <f t="shared" si="5"/>
        <v>790464756.07803011</v>
      </c>
    </row>
    <row r="70" spans="2:10">
      <c r="B70">
        <f t="shared" si="4"/>
        <v>62</v>
      </c>
      <c r="C70">
        <v>315000</v>
      </c>
      <c r="D70">
        <v>1</v>
      </c>
      <c r="E70">
        <v>6660</v>
      </c>
      <c r="F70">
        <v>1638</v>
      </c>
      <c r="G70">
        <f t="shared" si="3"/>
        <v>2683044</v>
      </c>
      <c r="H70">
        <v>4</v>
      </c>
      <c r="I70">
        <v>1</v>
      </c>
      <c r="J70" s="77">
        <f t="shared" si="5"/>
        <v>4217220036.9543257</v>
      </c>
    </row>
    <row r="71" spans="2:10">
      <c r="B71">
        <f t="shared" si="4"/>
        <v>63</v>
      </c>
      <c r="C71">
        <v>264000</v>
      </c>
      <c r="D71">
        <v>1</v>
      </c>
      <c r="E71">
        <v>6637</v>
      </c>
      <c r="F71">
        <v>1972</v>
      </c>
      <c r="G71">
        <f t="shared" si="3"/>
        <v>3888784</v>
      </c>
      <c r="H71">
        <v>3</v>
      </c>
      <c r="I71">
        <v>1</v>
      </c>
      <c r="J71" s="77">
        <f t="shared" si="5"/>
        <v>228933374.96334347</v>
      </c>
    </row>
    <row r="72" spans="2:10">
      <c r="B72">
        <f t="shared" si="4"/>
        <v>64</v>
      </c>
      <c r="C72">
        <v>210000</v>
      </c>
      <c r="D72">
        <v>1</v>
      </c>
      <c r="E72">
        <v>5146</v>
      </c>
      <c r="F72">
        <v>1408</v>
      </c>
      <c r="G72">
        <f t="shared" si="3"/>
        <v>1982464</v>
      </c>
      <c r="H72">
        <v>3</v>
      </c>
      <c r="I72">
        <v>1</v>
      </c>
      <c r="J72" s="77">
        <f t="shared" si="5"/>
        <v>994560.31332326913</v>
      </c>
    </row>
    <row r="73" spans="2:10">
      <c r="B73">
        <f t="shared" si="4"/>
        <v>65</v>
      </c>
      <c r="C73">
        <v>180000</v>
      </c>
      <c r="D73">
        <v>1</v>
      </c>
      <c r="E73">
        <v>6017</v>
      </c>
      <c r="F73">
        <v>1812</v>
      </c>
      <c r="G73">
        <f t="shared" si="3"/>
        <v>3283344</v>
      </c>
      <c r="H73">
        <v>3</v>
      </c>
      <c r="I73">
        <v>1</v>
      </c>
      <c r="J73" s="77">
        <f t="shared" si="5"/>
        <v>6128522111.3103685</v>
      </c>
    </row>
    <row r="74" spans="2:10">
      <c r="B74">
        <f t="shared" si="4"/>
        <v>66</v>
      </c>
      <c r="C74">
        <v>250000</v>
      </c>
      <c r="D74">
        <v>1</v>
      </c>
      <c r="E74">
        <v>8410</v>
      </c>
      <c r="F74">
        <v>1722</v>
      </c>
      <c r="G74">
        <f t="shared" ref="G74:G96" si="6">F74^2</f>
        <v>2965284</v>
      </c>
      <c r="H74">
        <v>3</v>
      </c>
      <c r="I74">
        <v>1</v>
      </c>
      <c r="J74" s="77">
        <f t="shared" si="5"/>
        <v>674697.518451493</v>
      </c>
    </row>
    <row r="75" spans="2:10">
      <c r="B75">
        <f t="shared" ref="B75:B96" si="7">B74+1</f>
        <v>67</v>
      </c>
      <c r="C75">
        <v>250000</v>
      </c>
      <c r="D75">
        <v>1</v>
      </c>
      <c r="E75">
        <v>5625</v>
      </c>
      <c r="F75">
        <v>1780</v>
      </c>
      <c r="G75">
        <f t="shared" si="6"/>
        <v>3168400</v>
      </c>
      <c r="H75">
        <v>4</v>
      </c>
      <c r="I75">
        <v>1</v>
      </c>
      <c r="J75" s="77">
        <f t="shared" si="5"/>
        <v>246405271.68188524</v>
      </c>
    </row>
    <row r="76" spans="2:10">
      <c r="B76">
        <f t="shared" si="7"/>
        <v>68</v>
      </c>
      <c r="C76">
        <v>209000</v>
      </c>
      <c r="D76">
        <v>1</v>
      </c>
      <c r="E76">
        <v>5600</v>
      </c>
      <c r="F76">
        <v>1674</v>
      </c>
      <c r="G76">
        <f t="shared" si="6"/>
        <v>2802276</v>
      </c>
      <c r="H76">
        <v>4</v>
      </c>
      <c r="I76">
        <v>1</v>
      </c>
      <c r="J76" s="77">
        <f t="shared" si="5"/>
        <v>1919517708.4756358</v>
      </c>
    </row>
    <row r="77" spans="2:10">
      <c r="B77">
        <f t="shared" si="7"/>
        <v>69</v>
      </c>
      <c r="C77">
        <v>258000</v>
      </c>
      <c r="D77">
        <v>1</v>
      </c>
      <c r="E77">
        <v>6525</v>
      </c>
      <c r="F77">
        <v>1850</v>
      </c>
      <c r="G77">
        <f t="shared" si="6"/>
        <v>3422500</v>
      </c>
      <c r="H77">
        <v>4</v>
      </c>
      <c r="I77">
        <v>1</v>
      </c>
      <c r="J77" s="77">
        <f t="shared" si="5"/>
        <v>310872741.81070209</v>
      </c>
    </row>
    <row r="78" spans="2:10">
      <c r="B78">
        <f t="shared" si="7"/>
        <v>70</v>
      </c>
      <c r="C78">
        <v>289000</v>
      </c>
      <c r="D78">
        <v>1</v>
      </c>
      <c r="E78">
        <v>6060</v>
      </c>
      <c r="F78">
        <v>1925</v>
      </c>
      <c r="G78">
        <f t="shared" si="6"/>
        <v>3705625</v>
      </c>
      <c r="H78">
        <v>3</v>
      </c>
      <c r="I78">
        <v>1</v>
      </c>
      <c r="J78" s="77">
        <f t="shared" si="5"/>
        <v>276487561.80829179</v>
      </c>
    </row>
    <row r="79" spans="2:10">
      <c r="B79">
        <f t="shared" si="7"/>
        <v>71</v>
      </c>
      <c r="C79">
        <v>266000</v>
      </c>
      <c r="D79">
        <v>1</v>
      </c>
      <c r="E79">
        <v>5484</v>
      </c>
      <c r="F79">
        <v>1664</v>
      </c>
      <c r="G79">
        <f t="shared" si="6"/>
        <v>2768896</v>
      </c>
      <c r="H79">
        <v>4</v>
      </c>
      <c r="I79">
        <v>1</v>
      </c>
      <c r="J79" s="77">
        <f t="shared" si="5"/>
        <v>211950280.04536787</v>
      </c>
    </row>
    <row r="80" spans="2:10">
      <c r="B80">
        <f t="shared" si="7"/>
        <v>72</v>
      </c>
      <c r="C80">
        <v>310000</v>
      </c>
      <c r="D80">
        <v>1</v>
      </c>
      <c r="E80">
        <v>5348</v>
      </c>
      <c r="F80">
        <v>1386</v>
      </c>
      <c r="G80">
        <f t="shared" si="6"/>
        <v>1920996</v>
      </c>
      <c r="H80">
        <v>6</v>
      </c>
      <c r="I80">
        <v>1</v>
      </c>
      <c r="J80" s="77">
        <f t="shared" si="5"/>
        <v>4553531202.9214249</v>
      </c>
    </row>
    <row r="81" spans="2:10">
      <c r="B81">
        <f t="shared" si="7"/>
        <v>73</v>
      </c>
      <c r="C81">
        <v>471250</v>
      </c>
      <c r="D81">
        <v>1</v>
      </c>
      <c r="E81">
        <v>15834</v>
      </c>
      <c r="F81">
        <v>2617</v>
      </c>
      <c r="G81">
        <f t="shared" si="6"/>
        <v>6848689</v>
      </c>
      <c r="H81">
        <v>5</v>
      </c>
      <c r="I81">
        <v>1</v>
      </c>
      <c r="J81" s="77">
        <f t="shared" si="5"/>
        <v>4774361740.5779161</v>
      </c>
    </row>
    <row r="82" spans="2:10">
      <c r="B82">
        <f t="shared" si="7"/>
        <v>74</v>
      </c>
      <c r="C82">
        <v>335000</v>
      </c>
      <c r="D82">
        <v>1</v>
      </c>
      <c r="E82">
        <v>8022</v>
      </c>
      <c r="F82">
        <v>2321</v>
      </c>
      <c r="G82">
        <f t="shared" si="6"/>
        <v>5387041</v>
      </c>
      <c r="H82">
        <v>4</v>
      </c>
      <c r="I82">
        <v>1</v>
      </c>
      <c r="J82" s="77">
        <f t="shared" si="5"/>
        <v>11416788.841839729</v>
      </c>
    </row>
    <row r="83" spans="2:10">
      <c r="B83">
        <f t="shared" si="7"/>
        <v>75</v>
      </c>
      <c r="C83">
        <v>495000</v>
      </c>
      <c r="D83">
        <v>1</v>
      </c>
      <c r="E83">
        <v>11966</v>
      </c>
      <c r="F83">
        <v>2638</v>
      </c>
      <c r="G83">
        <f t="shared" si="6"/>
        <v>6959044</v>
      </c>
      <c r="H83">
        <v>4</v>
      </c>
      <c r="I83">
        <v>1</v>
      </c>
      <c r="J83" s="77">
        <f t="shared" si="5"/>
        <v>11559534214.875475</v>
      </c>
    </row>
    <row r="84" spans="2:10">
      <c r="B84">
        <f t="shared" si="7"/>
        <v>76</v>
      </c>
      <c r="C84">
        <v>279500</v>
      </c>
      <c r="D84">
        <v>1</v>
      </c>
      <c r="E84">
        <v>8460</v>
      </c>
      <c r="F84">
        <v>1915</v>
      </c>
      <c r="G84">
        <f t="shared" si="6"/>
        <v>3667225</v>
      </c>
      <c r="H84">
        <v>4</v>
      </c>
      <c r="I84">
        <v>1</v>
      </c>
      <c r="J84" s="77">
        <f t="shared" si="5"/>
        <v>49881135.91472774</v>
      </c>
    </row>
    <row r="85" spans="2:10">
      <c r="B85">
        <f t="shared" si="7"/>
        <v>77</v>
      </c>
      <c r="C85">
        <v>380000</v>
      </c>
      <c r="D85">
        <v>1</v>
      </c>
      <c r="E85">
        <v>15105</v>
      </c>
      <c r="F85">
        <v>2589</v>
      </c>
      <c r="G85">
        <f t="shared" si="6"/>
        <v>6702921</v>
      </c>
      <c r="H85">
        <v>4</v>
      </c>
      <c r="I85">
        <v>1</v>
      </c>
      <c r="J85" s="77">
        <f t="shared" si="5"/>
        <v>27799215.190991715</v>
      </c>
    </row>
    <row r="86" spans="2:10">
      <c r="B86">
        <f t="shared" si="7"/>
        <v>78</v>
      </c>
      <c r="C86">
        <v>220000</v>
      </c>
      <c r="D86">
        <v>1</v>
      </c>
      <c r="E86">
        <v>6300</v>
      </c>
      <c r="F86">
        <v>1587</v>
      </c>
      <c r="G86">
        <f t="shared" si="6"/>
        <v>2518569</v>
      </c>
      <c r="H86">
        <v>3</v>
      </c>
      <c r="I86">
        <v>1</v>
      </c>
      <c r="J86" s="77">
        <f t="shared" si="5"/>
        <v>133529459.61717144</v>
      </c>
    </row>
    <row r="87" spans="2:10">
      <c r="B87">
        <f t="shared" si="7"/>
        <v>79</v>
      </c>
      <c r="C87">
        <v>240000</v>
      </c>
      <c r="D87">
        <v>1</v>
      </c>
      <c r="E87">
        <v>6000</v>
      </c>
      <c r="F87">
        <v>1536</v>
      </c>
      <c r="G87">
        <f t="shared" si="6"/>
        <v>2359296</v>
      </c>
      <c r="H87">
        <v>3</v>
      </c>
      <c r="I87">
        <v>1</v>
      </c>
      <c r="J87" s="77">
        <f t="shared" si="5"/>
        <v>221849671.3136571</v>
      </c>
    </row>
    <row r="88" spans="2:10">
      <c r="B88">
        <f t="shared" si="7"/>
        <v>80</v>
      </c>
      <c r="C88">
        <v>230000</v>
      </c>
      <c r="D88">
        <v>1</v>
      </c>
      <c r="E88">
        <v>4054</v>
      </c>
      <c r="F88">
        <v>1736</v>
      </c>
      <c r="G88">
        <f t="shared" si="6"/>
        <v>3013696</v>
      </c>
      <c r="H88">
        <v>3</v>
      </c>
      <c r="I88">
        <v>1</v>
      </c>
      <c r="J88" s="77">
        <f t="shared" si="5"/>
        <v>259631556.10850531</v>
      </c>
    </row>
    <row r="89" spans="2:10">
      <c r="B89">
        <f t="shared" si="7"/>
        <v>81</v>
      </c>
      <c r="C89">
        <v>318000</v>
      </c>
      <c r="D89">
        <v>1</v>
      </c>
      <c r="E89">
        <v>92681</v>
      </c>
      <c r="F89">
        <v>1696</v>
      </c>
      <c r="G89">
        <f t="shared" si="6"/>
        <v>2876416</v>
      </c>
      <c r="H89">
        <v>4</v>
      </c>
      <c r="I89">
        <v>1</v>
      </c>
      <c r="J89" s="77">
        <f t="shared" si="5"/>
        <v>4292754462.0536337</v>
      </c>
    </row>
    <row r="90" spans="2:10">
      <c r="B90">
        <f t="shared" si="7"/>
        <v>82</v>
      </c>
      <c r="C90">
        <v>330000</v>
      </c>
      <c r="D90">
        <v>1</v>
      </c>
      <c r="E90">
        <v>8178</v>
      </c>
      <c r="F90">
        <v>2186</v>
      </c>
      <c r="G90">
        <f t="shared" si="6"/>
        <v>4778596</v>
      </c>
      <c r="H90">
        <v>3</v>
      </c>
      <c r="I90">
        <v>1</v>
      </c>
      <c r="J90" s="77">
        <f t="shared" si="5"/>
        <v>446165088.41236913</v>
      </c>
    </row>
    <row r="91" spans="2:10">
      <c r="B91">
        <f t="shared" si="7"/>
        <v>83</v>
      </c>
      <c r="C91">
        <v>246000</v>
      </c>
      <c r="D91">
        <v>1</v>
      </c>
      <c r="E91">
        <v>5944</v>
      </c>
      <c r="F91">
        <v>1928</v>
      </c>
      <c r="G91">
        <f t="shared" si="6"/>
        <v>3717184</v>
      </c>
      <c r="H91">
        <v>4</v>
      </c>
      <c r="I91">
        <v>1</v>
      </c>
      <c r="J91" s="77">
        <f t="shared" si="5"/>
        <v>1481493307.8883293</v>
      </c>
    </row>
    <row r="92" spans="2:10">
      <c r="B92">
        <f t="shared" si="7"/>
        <v>84</v>
      </c>
      <c r="C92">
        <v>111000</v>
      </c>
      <c r="D92">
        <v>1</v>
      </c>
      <c r="E92">
        <v>4315</v>
      </c>
      <c r="F92">
        <v>1535</v>
      </c>
      <c r="G92">
        <f t="shared" si="6"/>
        <v>2356225</v>
      </c>
      <c r="H92">
        <v>4</v>
      </c>
      <c r="I92">
        <v>1</v>
      </c>
      <c r="J92" s="77">
        <f t="shared" si="5"/>
        <v>15233228726.704214</v>
      </c>
    </row>
    <row r="93" spans="2:10">
      <c r="B93">
        <f t="shared" si="7"/>
        <v>85</v>
      </c>
      <c r="C93">
        <v>268125</v>
      </c>
      <c r="D93">
        <v>1</v>
      </c>
      <c r="E93">
        <v>5167</v>
      </c>
      <c r="F93">
        <v>1980</v>
      </c>
      <c r="G93">
        <f t="shared" si="6"/>
        <v>3920400</v>
      </c>
      <c r="H93">
        <v>3</v>
      </c>
      <c r="I93">
        <v>1</v>
      </c>
      <c r="J93" s="77">
        <f t="shared" si="5"/>
        <v>97106232.706927076</v>
      </c>
    </row>
    <row r="94" spans="2:10">
      <c r="B94">
        <f t="shared" si="7"/>
        <v>86</v>
      </c>
      <c r="C94">
        <v>244000</v>
      </c>
      <c r="D94">
        <v>1</v>
      </c>
      <c r="E94">
        <v>7893</v>
      </c>
      <c r="F94">
        <v>2090</v>
      </c>
      <c r="G94">
        <f t="shared" si="6"/>
        <v>4368100</v>
      </c>
      <c r="H94">
        <v>4</v>
      </c>
      <c r="I94">
        <v>1</v>
      </c>
      <c r="J94" s="77">
        <f t="shared" si="5"/>
        <v>4086706039.1675029</v>
      </c>
    </row>
    <row r="95" spans="2:10">
      <c r="B95">
        <f t="shared" si="7"/>
        <v>87</v>
      </c>
      <c r="C95">
        <v>295000</v>
      </c>
      <c r="D95">
        <v>1</v>
      </c>
      <c r="E95">
        <v>6056</v>
      </c>
      <c r="F95">
        <v>1837</v>
      </c>
      <c r="G95">
        <f t="shared" si="6"/>
        <v>3374569</v>
      </c>
      <c r="H95">
        <v>3</v>
      </c>
      <c r="I95">
        <v>1</v>
      </c>
      <c r="J95" s="77">
        <f t="shared" si="5"/>
        <v>1127457596.8944454</v>
      </c>
    </row>
    <row r="96" spans="2:10">
      <c r="B96">
        <f t="shared" si="7"/>
        <v>88</v>
      </c>
      <c r="C96">
        <v>242000</v>
      </c>
      <c r="D96">
        <v>1</v>
      </c>
      <c r="E96">
        <v>4950</v>
      </c>
      <c r="F96">
        <v>1774</v>
      </c>
      <c r="G96">
        <f t="shared" si="6"/>
        <v>3147076</v>
      </c>
      <c r="H96">
        <v>4</v>
      </c>
      <c r="I96">
        <v>1</v>
      </c>
      <c r="J96" s="77">
        <f t="shared" si="5"/>
        <v>482736466.97991085</v>
      </c>
    </row>
    <row r="97" spans="10:10">
      <c r="J97" s="53">
        <f>SUM(J36:J96)</f>
        <v>167587973340.16119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2:AS96"/>
  <sheetViews>
    <sheetView workbookViewId="0">
      <selection activeCell="AH24" sqref="AH24"/>
    </sheetView>
  </sheetViews>
  <sheetFormatPr defaultRowHeight="15"/>
  <cols>
    <col min="3" max="3" width="2.140625" bestFit="1" customWidth="1"/>
    <col min="7" max="7" width="3.42578125" bestFit="1" customWidth="1"/>
    <col min="8" max="8" width="3.85546875" bestFit="1" customWidth="1"/>
    <col min="12" max="12" width="7.28515625" bestFit="1" customWidth="1"/>
    <col min="13" max="14" width="12" bestFit="1" customWidth="1"/>
    <col min="17" max="17" width="12" bestFit="1" customWidth="1"/>
    <col min="18" max="18" width="12.7109375" bestFit="1" customWidth="1"/>
    <col min="19" max="19" width="12.140625" bestFit="1" customWidth="1"/>
    <col min="20" max="20" width="12.7109375" bestFit="1" customWidth="1"/>
    <col min="21" max="21" width="9.140625" customWidth="1"/>
    <col min="22" max="22" width="10.140625" bestFit="1" customWidth="1"/>
    <col min="23" max="23" width="12.7109375" bestFit="1" customWidth="1"/>
    <col min="24" max="24" width="12.140625" bestFit="1" customWidth="1"/>
    <col min="25" max="25" width="12.7109375" bestFit="1" customWidth="1"/>
    <col min="26" max="26" width="11.140625" bestFit="1" customWidth="1"/>
    <col min="36" max="36" width="12.7109375" bestFit="1" customWidth="1"/>
    <col min="37" max="37" width="9.28515625" bestFit="1" customWidth="1"/>
    <col min="38" max="38" width="9.7109375" bestFit="1" customWidth="1"/>
    <col min="39" max="39" width="9.28515625" bestFit="1" customWidth="1"/>
    <col min="40" max="40" width="10.7109375" bestFit="1" customWidth="1"/>
    <col min="41" max="41" width="12.7109375" bestFit="1" customWidth="1"/>
    <col min="42" max="42" width="11.140625" bestFit="1" customWidth="1"/>
    <col min="43" max="43" width="9.7109375" bestFit="1" customWidth="1"/>
    <col min="44" max="44" width="9.42578125" bestFit="1" customWidth="1"/>
    <col min="45" max="45" width="11.7109375" bestFit="1" customWidth="1"/>
    <col min="46" max="46" width="10.7109375" bestFit="1" customWidth="1"/>
  </cols>
  <sheetData>
    <row r="2" spans="2:45">
      <c r="B2" s="79" t="s">
        <v>181</v>
      </c>
    </row>
    <row r="3" spans="2:45">
      <c r="AB3" s="79" t="s">
        <v>190</v>
      </c>
    </row>
    <row r="5" spans="2:45">
      <c r="B5" s="63" t="s">
        <v>140</v>
      </c>
      <c r="C5" s="63" t="s">
        <v>92</v>
      </c>
      <c r="D5" s="63" t="s">
        <v>138</v>
      </c>
      <c r="E5" s="63" t="s">
        <v>139</v>
      </c>
      <c r="F5" s="63" t="s">
        <v>142</v>
      </c>
      <c r="G5" s="63" t="s">
        <v>141</v>
      </c>
      <c r="H5" s="67" t="s">
        <v>174</v>
      </c>
      <c r="I5" s="67" t="s">
        <v>183</v>
      </c>
      <c r="J5" s="67" t="s">
        <v>184</v>
      </c>
      <c r="K5" s="63" t="s">
        <v>185</v>
      </c>
      <c r="L5" s="67" t="s">
        <v>186</v>
      </c>
      <c r="M5" s="67" t="s">
        <v>175</v>
      </c>
      <c r="N5" s="67" t="s">
        <v>155</v>
      </c>
      <c r="O5" s="76"/>
      <c r="P5" s="76"/>
      <c r="Q5" s="76"/>
      <c r="R5" s="76"/>
      <c r="S5" s="76"/>
      <c r="T5" s="76"/>
      <c r="U5" s="76"/>
      <c r="V5" s="76"/>
      <c r="W5" s="76"/>
    </row>
    <row r="6" spans="2:45">
      <c r="B6">
        <v>191000</v>
      </c>
      <c r="C6">
        <v>1</v>
      </c>
      <c r="D6">
        <v>5200</v>
      </c>
      <c r="E6">
        <v>1374</v>
      </c>
      <c r="F6">
        <f>E6^2</f>
        <v>1887876</v>
      </c>
      <c r="G6">
        <v>3</v>
      </c>
      <c r="H6">
        <v>0</v>
      </c>
      <c r="I6">
        <f>H6*D6</f>
        <v>0</v>
      </c>
      <c r="J6">
        <f>H6*E6</f>
        <v>0</v>
      </c>
      <c r="K6">
        <f>H6*F6</f>
        <v>0</v>
      </c>
      <c r="L6">
        <f>H6*G6</f>
        <v>0</v>
      </c>
      <c r="M6">
        <f>(B6-T$30-T$31*D6-T$32*E6-T$33*F6-T$34*G6-T$35*H6-T$36*I6-T$37*J6-T$38*K6-T$39*L6)^2</f>
        <v>527191911.37190604</v>
      </c>
      <c r="N6">
        <f t="shared" ref="N6:N37" si="0">(B6-W$31)^2</f>
        <v>10515689107.773895</v>
      </c>
      <c r="P6" s="38"/>
      <c r="Q6" s="40">
        <f t="array" ref="Q6:Z15">MMULT(TRANSPOSE(C6:L93),C6:L93)</f>
        <v>88</v>
      </c>
      <c r="R6" s="50">
        <v>793748</v>
      </c>
      <c r="S6" s="50">
        <v>177205</v>
      </c>
      <c r="T6" s="50">
        <v>385820561</v>
      </c>
      <c r="U6" s="50">
        <v>314</v>
      </c>
      <c r="V6" s="50">
        <v>61</v>
      </c>
      <c r="W6" s="50">
        <v>555967</v>
      </c>
      <c r="X6" s="50">
        <v>124359</v>
      </c>
      <c r="Y6" s="50">
        <v>270789985</v>
      </c>
      <c r="Z6" s="41">
        <v>228</v>
      </c>
      <c r="AJ6" s="40">
        <v>0</v>
      </c>
      <c r="AK6" s="50">
        <v>0</v>
      </c>
      <c r="AL6" s="50">
        <v>0</v>
      </c>
      <c r="AM6" s="50">
        <v>0</v>
      </c>
      <c r="AN6" s="50">
        <v>0</v>
      </c>
      <c r="AO6" s="53">
        <v>1</v>
      </c>
      <c r="AP6" s="50">
        <v>0</v>
      </c>
      <c r="AQ6" s="50">
        <v>0</v>
      </c>
      <c r="AR6" s="50">
        <v>0</v>
      </c>
      <c r="AS6" s="41">
        <v>0</v>
      </c>
    </row>
    <row r="7" spans="2:45">
      <c r="B7">
        <v>206000</v>
      </c>
      <c r="C7">
        <v>1</v>
      </c>
      <c r="D7">
        <v>6000</v>
      </c>
      <c r="E7">
        <v>1767</v>
      </c>
      <c r="F7">
        <f t="shared" ref="F7:F70" si="1">E7^2</f>
        <v>3122289</v>
      </c>
      <c r="G7">
        <v>3</v>
      </c>
      <c r="H7">
        <v>0</v>
      </c>
      <c r="I7">
        <f t="shared" ref="I7:I70" si="2">H7*D7</f>
        <v>0</v>
      </c>
      <c r="J7">
        <f t="shared" ref="J7:J70" si="3">H7*E7</f>
        <v>0</v>
      </c>
      <c r="K7">
        <f t="shared" ref="K7:K70" si="4">H7*F7</f>
        <v>0</v>
      </c>
      <c r="L7">
        <f t="shared" ref="L7:L70" si="5">H7*G7</f>
        <v>0</v>
      </c>
      <c r="M7">
        <f t="shared" ref="M7:M70" si="6">(B7-T$30-T$31*D7-T$32*E7-T$33*F7-T$34*G7-T$35*H7-T$36*I7-T$37*J7-T$38*K7-T$39*L7)^2</f>
        <v>366126955.43259084</v>
      </c>
      <c r="N7">
        <f t="shared" si="0"/>
        <v>7664308085.0466213</v>
      </c>
      <c r="Q7" s="40">
        <v>793748</v>
      </c>
      <c r="R7" s="50">
        <v>16165159010</v>
      </c>
      <c r="S7" s="50">
        <v>1692290257</v>
      </c>
      <c r="T7" s="50">
        <v>3972675033601</v>
      </c>
      <c r="U7" s="50">
        <v>2933767</v>
      </c>
      <c r="V7" s="50">
        <v>555967</v>
      </c>
      <c r="W7" s="50">
        <v>12995691927</v>
      </c>
      <c r="X7" s="50">
        <v>1184280086</v>
      </c>
      <c r="Y7" s="50">
        <v>2730403142612</v>
      </c>
      <c r="Z7" s="41">
        <v>2155397</v>
      </c>
      <c r="AI7" s="38"/>
      <c r="AJ7" s="40">
        <v>0</v>
      </c>
      <c r="AK7" s="50">
        <v>0</v>
      </c>
      <c r="AL7" s="50">
        <v>0</v>
      </c>
      <c r="AM7" s="50">
        <v>0</v>
      </c>
      <c r="AN7" s="50">
        <v>0</v>
      </c>
      <c r="AO7" s="50">
        <v>0</v>
      </c>
      <c r="AP7" s="53">
        <v>1</v>
      </c>
      <c r="AQ7" s="50">
        <v>0</v>
      </c>
      <c r="AR7" s="50">
        <v>0</v>
      </c>
      <c r="AS7" s="41">
        <v>0</v>
      </c>
    </row>
    <row r="8" spans="2:45">
      <c r="B8">
        <v>240000</v>
      </c>
      <c r="C8">
        <v>1</v>
      </c>
      <c r="D8">
        <v>2892</v>
      </c>
      <c r="E8">
        <v>1890</v>
      </c>
      <c r="F8">
        <f t="shared" si="1"/>
        <v>3572100</v>
      </c>
      <c r="G8">
        <v>3</v>
      </c>
      <c r="H8">
        <v>0</v>
      </c>
      <c r="I8">
        <f t="shared" si="2"/>
        <v>0</v>
      </c>
      <c r="J8">
        <f t="shared" si="3"/>
        <v>0</v>
      </c>
      <c r="K8">
        <f t="shared" si="4"/>
        <v>0</v>
      </c>
      <c r="L8">
        <f t="shared" si="5"/>
        <v>0</v>
      </c>
      <c r="M8">
        <f t="shared" si="6"/>
        <v>781191751.0001595</v>
      </c>
      <c r="N8">
        <f t="shared" si="0"/>
        <v>2867177766.8648014</v>
      </c>
      <c r="Q8" s="40">
        <v>177205</v>
      </c>
      <c r="R8" s="50">
        <v>1692290257</v>
      </c>
      <c r="S8" s="50">
        <v>385820561</v>
      </c>
      <c r="T8" s="50">
        <v>916673706103</v>
      </c>
      <c r="U8" s="50">
        <v>654755</v>
      </c>
      <c r="V8" s="50">
        <v>124359</v>
      </c>
      <c r="W8" s="50">
        <v>1184280086</v>
      </c>
      <c r="X8" s="50">
        <v>270789985</v>
      </c>
      <c r="Y8" s="50">
        <v>635870879439</v>
      </c>
      <c r="Z8" s="41">
        <v>478134</v>
      </c>
      <c r="AI8" s="38" t="s">
        <v>116</v>
      </c>
      <c r="AJ8" s="40">
        <v>0</v>
      </c>
      <c r="AK8" s="50">
        <v>0</v>
      </c>
      <c r="AL8" s="50">
        <v>0</v>
      </c>
      <c r="AM8" s="50">
        <v>0</v>
      </c>
      <c r="AN8" s="50">
        <v>0</v>
      </c>
      <c r="AO8" s="50">
        <v>0</v>
      </c>
      <c r="AP8" s="50">
        <v>0</v>
      </c>
      <c r="AQ8" s="53">
        <v>1</v>
      </c>
      <c r="AR8" s="50">
        <v>0</v>
      </c>
      <c r="AS8" s="41">
        <v>0</v>
      </c>
    </row>
    <row r="9" spans="2:45">
      <c r="B9">
        <v>212000</v>
      </c>
      <c r="C9">
        <v>1</v>
      </c>
      <c r="D9">
        <v>6460</v>
      </c>
      <c r="E9">
        <v>1899</v>
      </c>
      <c r="F9">
        <f t="shared" si="1"/>
        <v>3606201</v>
      </c>
      <c r="G9">
        <v>3</v>
      </c>
      <c r="H9">
        <v>0</v>
      </c>
      <c r="I9">
        <f t="shared" si="2"/>
        <v>0</v>
      </c>
      <c r="J9">
        <f t="shared" si="3"/>
        <v>0</v>
      </c>
      <c r="K9">
        <f t="shared" si="4"/>
        <v>0</v>
      </c>
      <c r="L9">
        <f t="shared" si="5"/>
        <v>0</v>
      </c>
      <c r="M9">
        <f t="shared" si="6"/>
        <v>454138084.14304429</v>
      </c>
      <c r="N9">
        <f t="shared" si="0"/>
        <v>6649755675.9557123</v>
      </c>
      <c r="Q9" s="40">
        <v>385820561</v>
      </c>
      <c r="R9" s="50">
        <v>3972675033601</v>
      </c>
      <c r="S9" s="50">
        <v>916673706103</v>
      </c>
      <c r="T9" s="50">
        <v>2382651299058413</v>
      </c>
      <c r="U9" s="50">
        <v>1485901125</v>
      </c>
      <c r="V9" s="50">
        <v>270789985</v>
      </c>
      <c r="W9" s="50">
        <v>2730403142612</v>
      </c>
      <c r="X9" s="50">
        <v>635870879439</v>
      </c>
      <c r="Y9" s="50">
        <v>1618486011310321</v>
      </c>
      <c r="Z9" s="41">
        <v>1079795396</v>
      </c>
      <c r="AJ9" s="40">
        <v>0</v>
      </c>
      <c r="AK9" s="50">
        <v>0</v>
      </c>
      <c r="AL9" s="50">
        <v>0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3">
        <v>1</v>
      </c>
      <c r="AS9" s="41">
        <v>0</v>
      </c>
    </row>
    <row r="10" spans="2:45">
      <c r="B10">
        <v>240000</v>
      </c>
      <c r="C10">
        <v>1</v>
      </c>
      <c r="D10">
        <v>5922</v>
      </c>
      <c r="E10">
        <v>2000</v>
      </c>
      <c r="F10">
        <f t="shared" si="1"/>
        <v>4000000</v>
      </c>
      <c r="G10">
        <v>4</v>
      </c>
      <c r="H10">
        <v>0</v>
      </c>
      <c r="I10">
        <f t="shared" si="2"/>
        <v>0</v>
      </c>
      <c r="J10">
        <f t="shared" si="3"/>
        <v>0</v>
      </c>
      <c r="K10">
        <f t="shared" si="4"/>
        <v>0</v>
      </c>
      <c r="L10">
        <f t="shared" si="5"/>
        <v>0</v>
      </c>
      <c r="M10">
        <f t="shared" si="6"/>
        <v>33993158.155830942</v>
      </c>
      <c r="N10">
        <f t="shared" si="0"/>
        <v>2867177766.8648014</v>
      </c>
      <c r="P10" s="38" t="s">
        <v>93</v>
      </c>
      <c r="Q10" s="40">
        <v>314</v>
      </c>
      <c r="R10" s="50">
        <v>2933767</v>
      </c>
      <c r="S10" s="50">
        <v>654755</v>
      </c>
      <c r="T10" s="50">
        <v>1485901125</v>
      </c>
      <c r="U10" s="41">
        <v>1182</v>
      </c>
      <c r="V10" s="50">
        <v>228</v>
      </c>
      <c r="W10" s="50">
        <v>2155397</v>
      </c>
      <c r="X10" s="50">
        <v>478134</v>
      </c>
      <c r="Y10" s="50">
        <v>1079795396</v>
      </c>
      <c r="Z10" s="41">
        <v>894</v>
      </c>
      <c r="AJ10" s="40">
        <v>0</v>
      </c>
      <c r="AK10" s="50">
        <v>0</v>
      </c>
      <c r="AL10" s="50">
        <v>0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3">
        <v>1</v>
      </c>
    </row>
    <row r="11" spans="2:45">
      <c r="B11">
        <v>225000</v>
      </c>
      <c r="C11">
        <v>1</v>
      </c>
      <c r="D11">
        <v>6003</v>
      </c>
      <c r="E11">
        <v>1768</v>
      </c>
      <c r="F11">
        <f t="shared" si="1"/>
        <v>3125824</v>
      </c>
      <c r="G11">
        <v>3</v>
      </c>
      <c r="H11">
        <v>0</v>
      </c>
      <c r="I11">
        <f t="shared" si="2"/>
        <v>0</v>
      </c>
      <c r="J11">
        <f t="shared" si="3"/>
        <v>0</v>
      </c>
      <c r="K11">
        <f t="shared" si="4"/>
        <v>0</v>
      </c>
      <c r="L11">
        <f t="shared" si="5"/>
        <v>0</v>
      </c>
      <c r="M11">
        <f t="shared" si="6"/>
        <v>35082.634165802338</v>
      </c>
      <c r="N11">
        <f t="shared" si="0"/>
        <v>4698558789.5920753</v>
      </c>
      <c r="Q11" s="40">
        <v>61</v>
      </c>
      <c r="R11" s="50">
        <v>555967</v>
      </c>
      <c r="S11" s="50">
        <v>124359</v>
      </c>
      <c r="T11" s="50">
        <v>270789985</v>
      </c>
      <c r="U11" s="50">
        <v>228</v>
      </c>
      <c r="V11" s="50">
        <v>61</v>
      </c>
      <c r="W11" s="50">
        <v>555967</v>
      </c>
      <c r="X11" s="50">
        <v>124359</v>
      </c>
      <c r="Y11" s="50">
        <v>270789985</v>
      </c>
      <c r="Z11" s="41">
        <v>228</v>
      </c>
      <c r="AN11" s="37" t="s">
        <v>191</v>
      </c>
    </row>
    <row r="12" spans="2:45">
      <c r="B12">
        <v>150000</v>
      </c>
      <c r="C12">
        <v>1</v>
      </c>
      <c r="D12">
        <v>5218</v>
      </c>
      <c r="E12">
        <v>1732</v>
      </c>
      <c r="F12">
        <f t="shared" si="1"/>
        <v>2999824</v>
      </c>
      <c r="G12">
        <v>4</v>
      </c>
      <c r="H12">
        <v>0</v>
      </c>
      <c r="I12">
        <f t="shared" si="2"/>
        <v>0</v>
      </c>
      <c r="J12">
        <f t="shared" si="3"/>
        <v>0</v>
      </c>
      <c r="K12">
        <f t="shared" si="4"/>
        <v>0</v>
      </c>
      <c r="L12">
        <f t="shared" si="5"/>
        <v>0</v>
      </c>
      <c r="M12">
        <f t="shared" si="6"/>
        <v>6356748140.7474823</v>
      </c>
      <c r="N12">
        <f t="shared" si="0"/>
        <v>20605463903.228443</v>
      </c>
      <c r="Q12" s="40">
        <v>555967</v>
      </c>
      <c r="R12" s="50">
        <v>12995691927</v>
      </c>
      <c r="S12" s="50">
        <v>1184280086</v>
      </c>
      <c r="T12" s="50">
        <v>2730403142612</v>
      </c>
      <c r="U12" s="50">
        <v>2155397</v>
      </c>
      <c r="V12" s="50">
        <v>555967</v>
      </c>
      <c r="W12" s="50">
        <v>12995691927</v>
      </c>
      <c r="X12" s="50">
        <v>1184280086</v>
      </c>
      <c r="Y12" s="50">
        <v>2730403142612</v>
      </c>
      <c r="Z12" s="41">
        <v>2155397</v>
      </c>
    </row>
    <row r="13" spans="2:45">
      <c r="B13">
        <v>275000</v>
      </c>
      <c r="C13">
        <v>1</v>
      </c>
      <c r="D13">
        <v>6114</v>
      </c>
      <c r="E13">
        <v>1932</v>
      </c>
      <c r="F13">
        <f t="shared" si="1"/>
        <v>3732624</v>
      </c>
      <c r="G13">
        <v>3</v>
      </c>
      <c r="H13">
        <v>0</v>
      </c>
      <c r="I13">
        <f t="shared" si="2"/>
        <v>0</v>
      </c>
      <c r="J13">
        <f t="shared" si="3"/>
        <v>0</v>
      </c>
      <c r="K13">
        <f t="shared" si="4"/>
        <v>0</v>
      </c>
      <c r="L13">
        <f t="shared" si="5"/>
        <v>0</v>
      </c>
      <c r="M13">
        <f t="shared" si="6"/>
        <v>1770510471.2267089</v>
      </c>
      <c r="N13">
        <f t="shared" si="0"/>
        <v>343955380.50116318</v>
      </c>
      <c r="Q13" s="40">
        <v>124359</v>
      </c>
      <c r="R13" s="50">
        <v>1184280086</v>
      </c>
      <c r="S13" s="50">
        <v>270789985</v>
      </c>
      <c r="T13" s="50">
        <v>635870879439</v>
      </c>
      <c r="U13" s="50">
        <v>478134</v>
      </c>
      <c r="V13" s="50">
        <v>124359</v>
      </c>
      <c r="W13" s="50">
        <v>1184280086</v>
      </c>
      <c r="X13" s="50">
        <v>270789985</v>
      </c>
      <c r="Y13" s="50">
        <v>635870879439</v>
      </c>
      <c r="Z13" s="41">
        <v>478134</v>
      </c>
      <c r="AJ13" s="40">
        <f t="array" ref="AJ13:AS22">W32^2*Q18:Z27</f>
        <v>16383916080.760138</v>
      </c>
      <c r="AK13" s="50">
        <v>-85391.076583504168</v>
      </c>
      <c r="AL13" s="50">
        <v>-12471165.900199289</v>
      </c>
      <c r="AM13" s="50">
        <v>2665.6329308751333</v>
      </c>
      <c r="AN13" s="50">
        <v>-772256745.99109817</v>
      </c>
      <c r="AO13" s="50">
        <v>-16383916080.760059</v>
      </c>
      <c r="AP13" s="50">
        <v>85391.076583502261</v>
      </c>
      <c r="AQ13" s="50">
        <v>12471165.90019919</v>
      </c>
      <c r="AR13" s="50">
        <v>-2665.6329308751551</v>
      </c>
      <c r="AS13" s="41">
        <v>772256745.99119115</v>
      </c>
    </row>
    <row r="14" spans="2:45">
      <c r="B14">
        <v>230000</v>
      </c>
      <c r="C14">
        <v>1</v>
      </c>
      <c r="D14">
        <v>6710</v>
      </c>
      <c r="E14">
        <v>1932</v>
      </c>
      <c r="F14">
        <f t="shared" si="1"/>
        <v>3732624</v>
      </c>
      <c r="G14">
        <v>3</v>
      </c>
      <c r="H14">
        <v>0</v>
      </c>
      <c r="I14">
        <f t="shared" si="2"/>
        <v>0</v>
      </c>
      <c r="J14">
        <f t="shared" si="3"/>
        <v>0</v>
      </c>
      <c r="K14">
        <f t="shared" si="4"/>
        <v>0</v>
      </c>
      <c r="L14">
        <f t="shared" si="5"/>
        <v>0</v>
      </c>
      <c r="M14">
        <f t="shared" si="6"/>
        <v>40992619.924760707</v>
      </c>
      <c r="N14">
        <f t="shared" si="0"/>
        <v>4038098448.6829839</v>
      </c>
      <c r="Q14" s="40">
        <v>270789985</v>
      </c>
      <c r="R14" s="50">
        <v>2730403142612</v>
      </c>
      <c r="S14" s="50">
        <v>635870879439</v>
      </c>
      <c r="T14" s="50">
        <v>1618486011310321</v>
      </c>
      <c r="U14" s="50">
        <v>1079795396</v>
      </c>
      <c r="V14" s="50">
        <v>270789985</v>
      </c>
      <c r="W14" s="50">
        <v>2730403142612</v>
      </c>
      <c r="X14" s="50">
        <v>635870879439</v>
      </c>
      <c r="Y14" s="50">
        <v>1618486011310321</v>
      </c>
      <c r="Z14" s="41">
        <v>1079795396</v>
      </c>
      <c r="AJ14" s="40">
        <v>-85391.076583474001</v>
      </c>
      <c r="AK14" s="50">
        <v>3.9289741907322768</v>
      </c>
      <c r="AL14" s="50">
        <v>48.975768966516881</v>
      </c>
      <c r="AM14" s="50">
        <v>-1.3868893461939846E-2</v>
      </c>
      <c r="AN14" s="50">
        <v>4401.127585032049</v>
      </c>
      <c r="AO14" s="50">
        <v>85391.076583433285</v>
      </c>
      <c r="AP14" s="50">
        <v>-3.9289741907322515</v>
      </c>
      <c r="AQ14" s="50">
        <v>-48.975768966478348</v>
      </c>
      <c r="AR14" s="50">
        <v>1.3868893461935091E-2</v>
      </c>
      <c r="AS14" s="41">
        <v>-4401.1275850316342</v>
      </c>
    </row>
    <row r="15" spans="2:45">
      <c r="B15">
        <v>335000</v>
      </c>
      <c r="C15">
        <v>1</v>
      </c>
      <c r="D15">
        <v>15086</v>
      </c>
      <c r="E15">
        <v>2829</v>
      </c>
      <c r="F15">
        <f t="shared" si="1"/>
        <v>8003241</v>
      </c>
      <c r="G15">
        <v>4</v>
      </c>
      <c r="H15">
        <v>0</v>
      </c>
      <c r="I15">
        <f t="shared" si="2"/>
        <v>0</v>
      </c>
      <c r="J15">
        <f t="shared" si="3"/>
        <v>0</v>
      </c>
      <c r="K15">
        <f t="shared" si="4"/>
        <v>0</v>
      </c>
      <c r="L15">
        <f t="shared" si="5"/>
        <v>0</v>
      </c>
      <c r="M15">
        <f t="shared" si="6"/>
        <v>2008237276.3931694</v>
      </c>
      <c r="N15">
        <f t="shared" si="0"/>
        <v>1718431289.5920691</v>
      </c>
      <c r="Q15" s="40">
        <v>228</v>
      </c>
      <c r="R15" s="50">
        <v>2155397</v>
      </c>
      <c r="S15" s="50">
        <v>478134</v>
      </c>
      <c r="T15" s="50">
        <v>1079795396</v>
      </c>
      <c r="U15" s="50">
        <v>894</v>
      </c>
      <c r="V15" s="50">
        <v>228</v>
      </c>
      <c r="W15" s="50">
        <v>2155397</v>
      </c>
      <c r="X15" s="50">
        <v>478134</v>
      </c>
      <c r="Y15" s="50">
        <v>1079795396</v>
      </c>
      <c r="Z15" s="41">
        <v>894</v>
      </c>
      <c r="AJ15" s="40">
        <v>-12471165.900201419</v>
      </c>
      <c r="AK15" s="50">
        <v>48.975768966548387</v>
      </c>
      <c r="AL15" s="50">
        <v>11789.800882524207</v>
      </c>
      <c r="AM15" s="50">
        <v>-2.3977345488704458</v>
      </c>
      <c r="AN15" s="50">
        <v>-257616.96745819005</v>
      </c>
      <c r="AO15" s="50">
        <v>12471165.9002022</v>
      </c>
      <c r="AP15" s="50">
        <v>-48.975768966547626</v>
      </c>
      <c r="AQ15" s="50">
        <v>-11789.800882524874</v>
      </c>
      <c r="AR15" s="50">
        <v>2.3977345488705786</v>
      </c>
      <c r="AS15" s="41">
        <v>257616.96745809724</v>
      </c>
    </row>
    <row r="16" spans="2:45">
      <c r="B16">
        <v>190000</v>
      </c>
      <c r="C16">
        <v>1</v>
      </c>
      <c r="D16">
        <v>3500</v>
      </c>
      <c r="E16">
        <v>1702</v>
      </c>
      <c r="F16">
        <f t="shared" si="1"/>
        <v>2896804</v>
      </c>
      <c r="G16">
        <v>4</v>
      </c>
      <c r="H16">
        <v>0</v>
      </c>
      <c r="I16">
        <f t="shared" si="2"/>
        <v>0</v>
      </c>
      <c r="J16">
        <f t="shared" si="3"/>
        <v>0</v>
      </c>
      <c r="K16">
        <f t="shared" si="4"/>
        <v>0</v>
      </c>
      <c r="L16">
        <f t="shared" si="5"/>
        <v>0</v>
      </c>
      <c r="M16">
        <f t="shared" si="6"/>
        <v>828418767.00730574</v>
      </c>
      <c r="N16">
        <f t="shared" si="0"/>
        <v>10721781175.955713</v>
      </c>
      <c r="AJ16" s="40">
        <v>2665.6329308754839</v>
      </c>
      <c r="AK16" s="50">
        <v>-1.3868893461947114E-2</v>
      </c>
      <c r="AL16" s="50">
        <v>-2.3977345488703672</v>
      </c>
      <c r="AM16" s="50">
        <v>5.1164143708591614E-4</v>
      </c>
      <c r="AN16" s="50">
        <v>-9.5123142002370553</v>
      </c>
      <c r="AO16" s="50">
        <v>-2665.6329308755821</v>
      </c>
      <c r="AP16" s="50">
        <v>1.3868893461946922E-2</v>
      </c>
      <c r="AQ16" s="50">
        <v>2.3977345488704409</v>
      </c>
      <c r="AR16" s="50">
        <v>-5.1164143708593121E-4</v>
      </c>
      <c r="AS16" s="41">
        <v>9.5123142002549361</v>
      </c>
    </row>
    <row r="17" spans="2:45">
      <c r="B17">
        <v>225000</v>
      </c>
      <c r="C17">
        <v>1</v>
      </c>
      <c r="D17">
        <v>8880</v>
      </c>
      <c r="E17">
        <v>1421</v>
      </c>
      <c r="F17">
        <f t="shared" si="1"/>
        <v>2019241</v>
      </c>
      <c r="G17">
        <v>2</v>
      </c>
      <c r="H17">
        <v>0</v>
      </c>
      <c r="I17">
        <f t="shared" si="2"/>
        <v>0</v>
      </c>
      <c r="J17">
        <f t="shared" si="3"/>
        <v>0</v>
      </c>
      <c r="K17">
        <f t="shared" si="4"/>
        <v>0</v>
      </c>
      <c r="L17">
        <f t="shared" si="5"/>
        <v>0</v>
      </c>
      <c r="M17">
        <f t="shared" si="6"/>
        <v>12541.781664246779</v>
      </c>
      <c r="N17">
        <f t="shared" si="0"/>
        <v>4698558789.5920753</v>
      </c>
      <c r="AI17" s="38" t="s">
        <v>119</v>
      </c>
      <c r="AJ17" s="40">
        <v>-772256745.99032497</v>
      </c>
      <c r="AK17" s="50">
        <v>4401.1275850267139</v>
      </c>
      <c r="AL17" s="50">
        <v>-257616.96745885324</v>
      </c>
      <c r="AM17" s="50">
        <v>-9.5123142000973537</v>
      </c>
      <c r="AN17" s="50">
        <v>401310010.08494025</v>
      </c>
      <c r="AO17" s="50">
        <v>772256745.9900682</v>
      </c>
      <c r="AP17" s="50">
        <v>-4401.1275850264165</v>
      </c>
      <c r="AQ17" s="50">
        <v>257616.96745908831</v>
      </c>
      <c r="AR17" s="50">
        <v>9.5123142000545116</v>
      </c>
      <c r="AS17" s="41">
        <v>-401310010.08493716</v>
      </c>
    </row>
    <row r="18" spans="2:45">
      <c r="B18">
        <v>230000</v>
      </c>
      <c r="C18">
        <v>1</v>
      </c>
      <c r="D18">
        <v>5305</v>
      </c>
      <c r="E18">
        <v>1171</v>
      </c>
      <c r="F18">
        <f t="shared" si="1"/>
        <v>1371241</v>
      </c>
      <c r="G18">
        <v>3</v>
      </c>
      <c r="H18">
        <v>0</v>
      </c>
      <c r="I18">
        <f t="shared" si="2"/>
        <v>0</v>
      </c>
      <c r="J18">
        <f t="shared" si="3"/>
        <v>0</v>
      </c>
      <c r="K18">
        <f t="shared" si="4"/>
        <v>0</v>
      </c>
      <c r="L18">
        <f t="shared" si="5"/>
        <v>0</v>
      </c>
      <c r="M18">
        <f t="shared" si="6"/>
        <v>169343277.24802333</v>
      </c>
      <c r="N18">
        <f t="shared" si="0"/>
        <v>4038098448.6829839</v>
      </c>
      <c r="Q18" s="40">
        <f t="array" ref="Q18:Z27">MINVERSE(Q6:Z15)</f>
        <v>5.0797536740188756</v>
      </c>
      <c r="R18" s="50">
        <v>-2.6475088914356658E-5</v>
      </c>
      <c r="S18" s="50">
        <v>-3.8666244680799836E-3</v>
      </c>
      <c r="T18" s="50">
        <v>8.2646655460471774E-7</v>
      </c>
      <c r="U18" s="50">
        <v>-0.23943445653636061</v>
      </c>
      <c r="V18" s="50">
        <v>-5.0797536740188516</v>
      </c>
      <c r="W18" s="50">
        <v>2.6475088914356065E-5</v>
      </c>
      <c r="X18" s="50">
        <v>3.8666244680799528E-3</v>
      </c>
      <c r="Y18" s="50">
        <v>-8.2646655460472462E-7</v>
      </c>
      <c r="Z18" s="41">
        <v>0.23943445653638942</v>
      </c>
      <c r="AJ18" s="40">
        <v>-16383916080.762024</v>
      </c>
      <c r="AK18" s="50">
        <v>85391.076583508955</v>
      </c>
      <c r="AL18" s="50">
        <v>12471165.900200887</v>
      </c>
      <c r="AM18" s="50">
        <v>-2665.6329308754689</v>
      </c>
      <c r="AN18" s="50">
        <v>772256745.99110222</v>
      </c>
      <c r="AO18" s="50">
        <v>29053749151.621372</v>
      </c>
      <c r="AP18" s="50">
        <v>-88669.327061750446</v>
      </c>
      <c r="AQ18" s="50">
        <v>-22262108.940440934</v>
      </c>
      <c r="AR18" s="50">
        <v>4670.543486450475</v>
      </c>
      <c r="AS18" s="41">
        <v>-1180720321.6168747</v>
      </c>
    </row>
    <row r="19" spans="2:45">
      <c r="B19">
        <v>313000</v>
      </c>
      <c r="C19">
        <v>1</v>
      </c>
      <c r="D19">
        <v>1000</v>
      </c>
      <c r="E19">
        <v>2768</v>
      </c>
      <c r="F19">
        <f t="shared" si="1"/>
        <v>7661824</v>
      </c>
      <c r="G19">
        <v>3</v>
      </c>
      <c r="H19">
        <v>0</v>
      </c>
      <c r="I19">
        <f t="shared" si="2"/>
        <v>0</v>
      </c>
      <c r="J19">
        <f t="shared" si="3"/>
        <v>0</v>
      </c>
      <c r="K19">
        <f t="shared" si="4"/>
        <v>0</v>
      </c>
      <c r="L19">
        <f t="shared" si="5"/>
        <v>0</v>
      </c>
      <c r="M19">
        <f t="shared" si="6"/>
        <v>1151079257.4316294</v>
      </c>
      <c r="N19">
        <f t="shared" si="0"/>
        <v>378456789.59207022</v>
      </c>
      <c r="Q19" s="40">
        <v>-2.6475088914347307E-5</v>
      </c>
      <c r="R19" s="50">
        <v>1.2181593815617037E-9</v>
      </c>
      <c r="S19" s="50">
        <v>1.5184699501587126E-8</v>
      </c>
      <c r="T19" s="50">
        <v>-4.2999831157946654E-12</v>
      </c>
      <c r="U19" s="50">
        <v>1.3645482502285332E-6</v>
      </c>
      <c r="V19" s="50">
        <v>2.6475088914334682E-5</v>
      </c>
      <c r="W19" s="50">
        <v>-1.2181593815616959E-9</v>
      </c>
      <c r="X19" s="50">
        <v>-1.5184699501575179E-8</v>
      </c>
      <c r="Y19" s="50">
        <v>4.2999831157931912E-12</v>
      </c>
      <c r="Z19" s="41">
        <v>-1.3645482502284045E-6</v>
      </c>
      <c r="AJ19" s="40">
        <v>85391.076583478658</v>
      </c>
      <c r="AK19" s="50">
        <v>-3.9289741907323061</v>
      </c>
      <c r="AL19" s="50">
        <v>-48.975768966513542</v>
      </c>
      <c r="AM19" s="50">
        <v>1.3868893461940732E-2</v>
      </c>
      <c r="AN19" s="50">
        <v>-4401.1275850318152</v>
      </c>
      <c r="AO19" s="50">
        <v>-88669.327061695396</v>
      </c>
      <c r="AP19" s="50">
        <v>4.3469140013650147</v>
      </c>
      <c r="AQ19" s="50">
        <v>50.728360331712885</v>
      </c>
      <c r="AR19" s="50">
        <v>-1.4411275309301596E-2</v>
      </c>
      <c r="AS19" s="41">
        <v>3947.3275815206507</v>
      </c>
    </row>
    <row r="20" spans="2:45">
      <c r="B20">
        <v>417500</v>
      </c>
      <c r="C20">
        <v>1</v>
      </c>
      <c r="D20">
        <v>8112</v>
      </c>
      <c r="E20">
        <v>3733</v>
      </c>
      <c r="F20">
        <f t="shared" si="1"/>
        <v>13935289</v>
      </c>
      <c r="G20">
        <v>4</v>
      </c>
      <c r="H20">
        <v>0</v>
      </c>
      <c r="I20">
        <f t="shared" si="2"/>
        <v>0</v>
      </c>
      <c r="J20">
        <f t="shared" si="3"/>
        <v>0</v>
      </c>
      <c r="K20">
        <f t="shared" si="4"/>
        <v>0</v>
      </c>
      <c r="L20">
        <f t="shared" si="5"/>
        <v>0</v>
      </c>
      <c r="M20">
        <f t="shared" si="6"/>
        <v>7070758385.9463882</v>
      </c>
      <c r="N20">
        <f t="shared" si="0"/>
        <v>15364585664.592064</v>
      </c>
      <c r="Q20" s="40">
        <v>-3.8666244680806445E-3</v>
      </c>
      <c r="R20" s="50">
        <v>1.5184699501596894E-8</v>
      </c>
      <c r="S20" s="50">
        <v>3.6553705508344341E-6</v>
      </c>
      <c r="T20" s="50">
        <v>-7.434059613043103E-10</v>
      </c>
      <c r="U20" s="50">
        <v>-7.987289061325732E-5</v>
      </c>
      <c r="V20" s="50">
        <v>3.8666244680808865E-3</v>
      </c>
      <c r="W20" s="50">
        <v>-1.5184699501596659E-8</v>
      </c>
      <c r="X20" s="50">
        <v>-3.6553705508346407E-6</v>
      </c>
      <c r="Y20" s="50">
        <v>7.4340596130435155E-10</v>
      </c>
      <c r="Z20" s="41">
        <v>7.9872890613228548E-5</v>
      </c>
      <c r="AJ20" s="40">
        <v>12471165.900202855</v>
      </c>
      <c r="AK20" s="50">
        <v>-48.975768966552259</v>
      </c>
      <c r="AL20" s="50">
        <v>-11789.800882525478</v>
      </c>
      <c r="AM20" s="50">
        <v>2.3977345488707016</v>
      </c>
      <c r="AN20" s="50">
        <v>257616.9674581872</v>
      </c>
      <c r="AO20" s="50">
        <v>-22262108.940443885</v>
      </c>
      <c r="AP20" s="50">
        <v>50.728360331773843</v>
      </c>
      <c r="AQ20" s="50">
        <v>20119.700738365438</v>
      </c>
      <c r="AR20" s="50">
        <v>-4.0885995242698794</v>
      </c>
      <c r="AS20" s="41">
        <v>-177597.54796643378</v>
      </c>
    </row>
    <row r="21" spans="2:45">
      <c r="B21">
        <v>255000</v>
      </c>
      <c r="C21">
        <v>1</v>
      </c>
      <c r="D21">
        <v>15267</v>
      </c>
      <c r="E21">
        <v>1478</v>
      </c>
      <c r="F21">
        <f t="shared" si="1"/>
        <v>2184484</v>
      </c>
      <c r="G21">
        <v>2</v>
      </c>
      <c r="H21">
        <v>0</v>
      </c>
      <c r="I21">
        <f t="shared" si="2"/>
        <v>0</v>
      </c>
      <c r="J21">
        <f t="shared" si="3"/>
        <v>0</v>
      </c>
      <c r="K21">
        <f t="shared" si="4"/>
        <v>0</v>
      </c>
      <c r="L21">
        <f t="shared" si="5"/>
        <v>0</v>
      </c>
      <c r="M21">
        <f t="shared" si="6"/>
        <v>59137459.759648882</v>
      </c>
      <c r="N21">
        <f t="shared" si="0"/>
        <v>1485796744.1375279</v>
      </c>
      <c r="Q21" s="40">
        <v>8.2646655460482648E-7</v>
      </c>
      <c r="R21" s="50">
        <v>-4.2999831157969192E-12</v>
      </c>
      <c r="S21" s="50">
        <v>-7.43405961304286E-10</v>
      </c>
      <c r="T21" s="50">
        <v>1.5863194470762316E-13</v>
      </c>
      <c r="U21" s="50">
        <v>-2.9492468570331124E-9</v>
      </c>
      <c r="V21" s="50">
        <v>-8.2646655460485697E-7</v>
      </c>
      <c r="W21" s="50">
        <v>4.2999831157968594E-12</v>
      </c>
      <c r="X21" s="50">
        <v>7.4340596130430885E-10</v>
      </c>
      <c r="Y21" s="50">
        <v>-1.5863194470762783E-13</v>
      </c>
      <c r="Z21" s="41">
        <v>2.9492468570386566E-9</v>
      </c>
      <c r="AJ21" s="40">
        <v>-2665.6329308757831</v>
      </c>
      <c r="AK21" s="50">
        <v>1.3868893461947975E-2</v>
      </c>
      <c r="AL21" s="50">
        <v>2.3977345488706212</v>
      </c>
      <c r="AM21" s="50">
        <v>-5.1164143708596938E-4</v>
      </c>
      <c r="AN21" s="50">
        <v>9.512314200237876</v>
      </c>
      <c r="AO21" s="50">
        <v>4670.5434864509425</v>
      </c>
      <c r="AP21" s="50">
        <v>-1.4411275309313102E-2</v>
      </c>
      <c r="AQ21" s="50">
        <v>-4.0885995242697577</v>
      </c>
      <c r="AR21" s="50">
        <v>8.6545917528944969E-4</v>
      </c>
      <c r="AS21" s="41">
        <v>-42.556261685955363</v>
      </c>
    </row>
    <row r="22" spans="2:45" ht="17.25">
      <c r="B22">
        <v>316000</v>
      </c>
      <c r="C22">
        <v>1</v>
      </c>
      <c r="D22">
        <v>5539</v>
      </c>
      <c r="E22">
        <v>2343</v>
      </c>
      <c r="F22">
        <f t="shared" si="1"/>
        <v>5489649</v>
      </c>
      <c r="G22">
        <v>4</v>
      </c>
      <c r="H22">
        <v>0</v>
      </c>
      <c r="I22">
        <f t="shared" si="2"/>
        <v>0</v>
      </c>
      <c r="J22">
        <f t="shared" si="3"/>
        <v>0</v>
      </c>
      <c r="K22">
        <f t="shared" si="4"/>
        <v>0</v>
      </c>
      <c r="L22">
        <f t="shared" si="5"/>
        <v>0</v>
      </c>
      <c r="M22">
        <f t="shared" si="6"/>
        <v>2214808637.3225012</v>
      </c>
      <c r="N22">
        <f t="shared" si="0"/>
        <v>504180585.04661554</v>
      </c>
      <c r="P22" s="38" t="s">
        <v>94</v>
      </c>
      <c r="Q22" s="40">
        <v>-0.23943445653612089</v>
      </c>
      <c r="R22" s="50">
        <v>1.364548250226879E-6</v>
      </c>
      <c r="S22" s="50">
        <v>-7.9872890613462939E-5</v>
      </c>
      <c r="T22" s="50">
        <v>-2.9492468569897988E-9</v>
      </c>
      <c r="U22" s="50">
        <v>0.12442422117526787</v>
      </c>
      <c r="V22" s="50">
        <v>0.23943445653604126</v>
      </c>
      <c r="W22" s="50">
        <v>-1.3645482502267869E-6</v>
      </c>
      <c r="X22" s="50">
        <v>7.9872890613535825E-5</v>
      </c>
      <c r="Y22" s="50">
        <v>2.9492468569765159E-9</v>
      </c>
      <c r="Z22" s="41">
        <v>-0.12442422117526691</v>
      </c>
      <c r="AJ22" s="40">
        <v>772256745.99038792</v>
      </c>
      <c r="AK22" s="50">
        <v>-4401.1275850268421</v>
      </c>
      <c r="AL22" s="50">
        <v>257616.96745881293</v>
      </c>
      <c r="AM22" s="50">
        <v>9.5123142001079213</v>
      </c>
      <c r="AN22" s="50">
        <v>-401310010.08494139</v>
      </c>
      <c r="AO22" s="50">
        <v>-1180720321.615845</v>
      </c>
      <c r="AP22" s="50">
        <v>3947.3275815153029</v>
      </c>
      <c r="AQ22" s="50">
        <v>-177597.54796733515</v>
      </c>
      <c r="AR22" s="50">
        <v>-42.556261685768781</v>
      </c>
      <c r="AS22" s="41">
        <v>507298654.80050111</v>
      </c>
    </row>
    <row r="23" spans="2:45">
      <c r="B23">
        <v>225000</v>
      </c>
      <c r="C23">
        <v>1</v>
      </c>
      <c r="D23">
        <v>7566</v>
      </c>
      <c r="E23">
        <v>1567</v>
      </c>
      <c r="F23">
        <f t="shared" si="1"/>
        <v>2455489</v>
      </c>
      <c r="G23">
        <v>3</v>
      </c>
      <c r="H23">
        <v>0</v>
      </c>
      <c r="I23">
        <f t="shared" si="2"/>
        <v>0</v>
      </c>
      <c r="J23">
        <f t="shared" si="3"/>
        <v>0</v>
      </c>
      <c r="K23">
        <f t="shared" si="4"/>
        <v>0</v>
      </c>
      <c r="L23">
        <f t="shared" si="5"/>
        <v>0</v>
      </c>
      <c r="M23">
        <f t="shared" si="6"/>
        <v>17035678.465723421</v>
      </c>
      <c r="N23">
        <f t="shared" si="0"/>
        <v>4698558789.5920753</v>
      </c>
      <c r="Q23" s="40">
        <v>-5.0797536740194609</v>
      </c>
      <c r="R23" s="50">
        <v>2.6475088914358142E-5</v>
      </c>
      <c r="S23" s="50">
        <v>3.8666244680804793E-3</v>
      </c>
      <c r="T23" s="50">
        <v>-8.2646655460482193E-7</v>
      </c>
      <c r="U23" s="50">
        <v>0.23943445653636186</v>
      </c>
      <c r="V23" s="50">
        <v>9.0079739342832479</v>
      </c>
      <c r="W23" s="50">
        <v>-2.7491494566652519E-5</v>
      </c>
      <c r="X23" s="50">
        <v>-6.9022588448442923E-3</v>
      </c>
      <c r="Y23" s="50">
        <v>1.4480793430590491E-6</v>
      </c>
      <c r="Z23" s="41">
        <v>-0.36607660599319913</v>
      </c>
    </row>
    <row r="24" spans="2:45">
      <c r="B24">
        <v>325000</v>
      </c>
      <c r="C24">
        <v>1</v>
      </c>
      <c r="D24">
        <v>10859</v>
      </c>
      <c r="E24">
        <v>2709</v>
      </c>
      <c r="F24">
        <f t="shared" si="1"/>
        <v>7338681</v>
      </c>
      <c r="G24">
        <v>4</v>
      </c>
      <c r="H24">
        <v>0</v>
      </c>
      <c r="I24">
        <f t="shared" si="2"/>
        <v>0</v>
      </c>
      <c r="J24">
        <f t="shared" si="3"/>
        <v>0</v>
      </c>
      <c r="K24">
        <f t="shared" si="4"/>
        <v>0</v>
      </c>
      <c r="L24">
        <f t="shared" si="5"/>
        <v>0</v>
      </c>
      <c r="M24">
        <f t="shared" si="6"/>
        <v>208064207.55973068</v>
      </c>
      <c r="N24">
        <f t="shared" si="0"/>
        <v>989351971.41025138</v>
      </c>
      <c r="Q24" s="40">
        <v>2.6475088914348747E-5</v>
      </c>
      <c r="R24" s="50">
        <v>-1.2181593815617128E-9</v>
      </c>
      <c r="S24" s="50">
        <v>-1.5184699501586091E-8</v>
      </c>
      <c r="T24" s="50">
        <v>4.2999831157949401E-12</v>
      </c>
      <c r="U24" s="50">
        <v>-1.3645482502284608E-6</v>
      </c>
      <c r="V24" s="50">
        <v>-2.7491494566635449E-5</v>
      </c>
      <c r="W24" s="50">
        <v>1.3477395916967832E-9</v>
      </c>
      <c r="X24" s="50">
        <v>1.5728081949502784E-8</v>
      </c>
      <c r="Y24" s="50">
        <v>-4.4681459755332126E-12</v>
      </c>
      <c r="Z24" s="41">
        <v>1.2238497613114773E-6</v>
      </c>
    </row>
    <row r="25" spans="2:45">
      <c r="B25">
        <v>215000</v>
      </c>
      <c r="C25">
        <v>1</v>
      </c>
      <c r="D25">
        <v>11554</v>
      </c>
      <c r="E25">
        <v>1694</v>
      </c>
      <c r="F25">
        <f t="shared" si="1"/>
        <v>2869636</v>
      </c>
      <c r="G25">
        <v>3</v>
      </c>
      <c r="H25">
        <v>0</v>
      </c>
      <c r="I25">
        <f t="shared" si="2"/>
        <v>0</v>
      </c>
      <c r="J25">
        <f t="shared" si="3"/>
        <v>0</v>
      </c>
      <c r="K25">
        <f t="shared" si="4"/>
        <v>0</v>
      </c>
      <c r="L25">
        <f t="shared" si="5"/>
        <v>0</v>
      </c>
      <c r="M25">
        <f t="shared" si="6"/>
        <v>1619367840.4536755</v>
      </c>
      <c r="N25">
        <f t="shared" si="0"/>
        <v>6169479471.4102573</v>
      </c>
      <c r="Q25" s="40">
        <v>3.8666244680810894E-3</v>
      </c>
      <c r="R25" s="50">
        <v>-1.5184699501598095E-8</v>
      </c>
      <c r="S25" s="50">
        <v>-3.6553705508348283E-6</v>
      </c>
      <c r="T25" s="50">
        <v>7.4340596130438971E-10</v>
      </c>
      <c r="U25" s="50">
        <v>7.987289061325644E-5</v>
      </c>
      <c r="V25" s="50">
        <v>-6.9022588448452073E-3</v>
      </c>
      <c r="W25" s="50">
        <v>1.5728081949521684E-8</v>
      </c>
      <c r="X25" s="50">
        <v>6.2380155783323798E-6</v>
      </c>
      <c r="Y25" s="50">
        <v>-1.267650441605421E-9</v>
      </c>
      <c r="Z25" s="41">
        <v>-5.5063257912962882E-5</v>
      </c>
      <c r="AJ25" s="42">
        <v>0</v>
      </c>
      <c r="AL25" s="42">
        <f t="array" ref="AL25:AL34">T30:T39</f>
        <v>245676.06396089494</v>
      </c>
      <c r="AN25" s="50"/>
      <c r="AO25" s="42">
        <f t="array" ref="AO25:AO29">MMULT(AJ6:AS10,AL25:AL34)-AJ25:AJ29</f>
        <v>-221161.37456035987</v>
      </c>
      <c r="AP25" s="50"/>
      <c r="AQ25" s="50"/>
      <c r="AR25" s="50"/>
      <c r="AS25" s="50"/>
    </row>
    <row r="26" spans="2:45">
      <c r="B26">
        <v>725000</v>
      </c>
      <c r="C26">
        <v>1</v>
      </c>
      <c r="D26">
        <v>31000</v>
      </c>
      <c r="E26">
        <v>3662</v>
      </c>
      <c r="F26">
        <f t="shared" si="1"/>
        <v>13410244</v>
      </c>
      <c r="G26">
        <v>5</v>
      </c>
      <c r="H26">
        <v>0</v>
      </c>
      <c r="I26">
        <f t="shared" si="2"/>
        <v>0</v>
      </c>
      <c r="J26">
        <f t="shared" si="3"/>
        <v>0</v>
      </c>
      <c r="K26">
        <f t="shared" si="4"/>
        <v>0</v>
      </c>
      <c r="L26">
        <f t="shared" si="5"/>
        <v>0</v>
      </c>
      <c r="M26">
        <f t="shared" si="6"/>
        <v>9028364968.1027012</v>
      </c>
      <c r="N26">
        <f t="shared" si="0"/>
        <v>186152524698.68295</v>
      </c>
      <c r="Q26" s="40">
        <v>-8.2646655460491933E-7</v>
      </c>
      <c r="R26" s="50">
        <v>4.2999831157971857E-12</v>
      </c>
      <c r="S26" s="50">
        <v>7.4340596130436479E-10</v>
      </c>
      <c r="T26" s="50">
        <v>-1.5863194470763967E-13</v>
      </c>
      <c r="U26" s="50">
        <v>2.9492468570333672E-9</v>
      </c>
      <c r="V26" s="50">
        <v>1.4480793430591941E-6</v>
      </c>
      <c r="W26" s="50">
        <v>-4.4681459755367798E-12</v>
      </c>
      <c r="X26" s="50">
        <v>-1.2676504416053832E-9</v>
      </c>
      <c r="Y26" s="50">
        <v>2.6833141745352247E-13</v>
      </c>
      <c r="Z26" s="41">
        <v>-1.3194362421423665E-8</v>
      </c>
      <c r="AJ26" s="42">
        <v>0</v>
      </c>
      <c r="AL26" s="42">
        <v>5.838896229227359</v>
      </c>
      <c r="AN26" s="50"/>
      <c r="AO26" s="42">
        <v>-4.3683215753086841</v>
      </c>
      <c r="AP26" s="50"/>
      <c r="AQ26" s="50"/>
      <c r="AR26" s="50"/>
      <c r="AS26" s="50"/>
    </row>
    <row r="27" spans="2:45">
      <c r="B27">
        <v>306000</v>
      </c>
      <c r="C27">
        <v>1</v>
      </c>
      <c r="D27">
        <v>20700</v>
      </c>
      <c r="E27">
        <v>2205</v>
      </c>
      <c r="F27">
        <f t="shared" si="1"/>
        <v>4862025</v>
      </c>
      <c r="G27">
        <v>2</v>
      </c>
      <c r="H27">
        <v>0</v>
      </c>
      <c r="I27">
        <f t="shared" si="2"/>
        <v>0</v>
      </c>
      <c r="J27">
        <f t="shared" si="3"/>
        <v>0</v>
      </c>
      <c r="K27">
        <f t="shared" si="4"/>
        <v>0</v>
      </c>
      <c r="L27">
        <f t="shared" si="5"/>
        <v>0</v>
      </c>
      <c r="M27">
        <f t="shared" si="6"/>
        <v>370177517.76113635</v>
      </c>
      <c r="N27">
        <f t="shared" si="0"/>
        <v>155101266.86479789</v>
      </c>
      <c r="Q27" s="40">
        <v>0.2394344565361404</v>
      </c>
      <c r="R27" s="50">
        <v>-1.3645482502269188E-6</v>
      </c>
      <c r="S27" s="50">
        <v>7.9872890613450444E-5</v>
      </c>
      <c r="T27" s="50">
        <v>2.9492468569930752E-9</v>
      </c>
      <c r="U27" s="50">
        <v>-0.12442422117526823</v>
      </c>
      <c r="V27" s="50">
        <v>-0.36607660599287983</v>
      </c>
      <c r="W27" s="50">
        <v>1.2238497613098193E-6</v>
      </c>
      <c r="X27" s="50">
        <v>-5.5063257913242356E-5</v>
      </c>
      <c r="Y27" s="50">
        <v>-1.3194362421365817E-8</v>
      </c>
      <c r="Z27" s="41">
        <v>0.15728548613440654</v>
      </c>
      <c r="AI27" s="38" t="s">
        <v>117</v>
      </c>
      <c r="AJ27" s="42">
        <v>0</v>
      </c>
      <c r="AL27" s="42">
        <v>-133.30065730384922</v>
      </c>
      <c r="AN27" s="38" t="s">
        <v>118</v>
      </c>
      <c r="AO27" s="42">
        <v>219.16278493980599</v>
      </c>
      <c r="AP27" s="50"/>
      <c r="AQ27" s="50"/>
      <c r="AR27" s="50"/>
      <c r="AS27" s="50"/>
    </row>
    <row r="28" spans="2:45">
      <c r="B28">
        <v>425000</v>
      </c>
      <c r="C28">
        <v>1</v>
      </c>
      <c r="D28">
        <v>5525</v>
      </c>
      <c r="E28">
        <v>1502</v>
      </c>
      <c r="F28">
        <f t="shared" si="1"/>
        <v>2256004</v>
      </c>
      <c r="G28">
        <v>3</v>
      </c>
      <c r="H28">
        <v>0</v>
      </c>
      <c r="I28">
        <f t="shared" si="2"/>
        <v>0</v>
      </c>
      <c r="J28">
        <f t="shared" si="3"/>
        <v>0</v>
      </c>
      <c r="K28">
        <f t="shared" si="4"/>
        <v>0</v>
      </c>
      <c r="L28">
        <f t="shared" si="5"/>
        <v>0</v>
      </c>
      <c r="M28">
        <f t="shared" si="6"/>
        <v>43531481817.916115</v>
      </c>
      <c r="N28">
        <f t="shared" si="0"/>
        <v>17280145153.228428</v>
      </c>
      <c r="AJ28" s="42">
        <v>0</v>
      </c>
      <c r="AL28" s="42">
        <v>4.7706744396791373E-2</v>
      </c>
      <c r="AN28" s="50"/>
      <c r="AO28" s="42">
        <v>-3.747291477282233E-2</v>
      </c>
      <c r="AP28" s="50"/>
      <c r="AQ28" s="50"/>
      <c r="AR28" s="50"/>
      <c r="AS28" s="50"/>
    </row>
    <row r="29" spans="2:45">
      <c r="B29">
        <v>225000</v>
      </c>
      <c r="C29">
        <v>1</v>
      </c>
      <c r="D29">
        <v>18838</v>
      </c>
      <c r="E29">
        <v>1294</v>
      </c>
      <c r="F29">
        <f t="shared" si="1"/>
        <v>1674436</v>
      </c>
      <c r="G29">
        <v>3</v>
      </c>
      <c r="H29">
        <v>0</v>
      </c>
      <c r="I29">
        <f t="shared" si="2"/>
        <v>0</v>
      </c>
      <c r="J29">
        <f t="shared" si="3"/>
        <v>0</v>
      </c>
      <c r="K29">
        <f t="shared" si="4"/>
        <v>0</v>
      </c>
      <c r="L29">
        <f t="shared" si="5"/>
        <v>0</v>
      </c>
      <c r="M29">
        <f t="shared" si="6"/>
        <v>4771086500.9659395</v>
      </c>
      <c r="N29">
        <f t="shared" si="0"/>
        <v>4698558789.5920753</v>
      </c>
      <c r="AJ29" s="42">
        <v>0</v>
      </c>
      <c r="AK29" s="39" t="s">
        <v>96</v>
      </c>
      <c r="AL29" s="42">
        <v>10337.673693045974</v>
      </c>
      <c r="AN29" s="50"/>
      <c r="AO29" s="42">
        <v>1575.1204599775374</v>
      </c>
      <c r="AP29" s="50"/>
      <c r="AQ29" s="50"/>
      <c r="AR29" s="50"/>
      <c r="AS29" s="50"/>
    </row>
    <row r="30" spans="2:45">
      <c r="B30">
        <v>236000</v>
      </c>
      <c r="C30">
        <v>1</v>
      </c>
      <c r="D30">
        <v>5828</v>
      </c>
      <c r="E30">
        <v>1715</v>
      </c>
      <c r="F30">
        <f t="shared" si="1"/>
        <v>2941225</v>
      </c>
      <c r="G30">
        <v>3</v>
      </c>
      <c r="H30">
        <v>0</v>
      </c>
      <c r="I30">
        <f t="shared" si="2"/>
        <v>0</v>
      </c>
      <c r="J30">
        <f t="shared" si="3"/>
        <v>0</v>
      </c>
      <c r="K30">
        <f t="shared" si="4"/>
        <v>0</v>
      </c>
      <c r="L30">
        <f t="shared" si="5"/>
        <v>0</v>
      </c>
      <c r="M30">
        <f t="shared" si="6"/>
        <v>184312818.80381981</v>
      </c>
      <c r="N30">
        <f t="shared" si="0"/>
        <v>3311546039.5920744</v>
      </c>
      <c r="Q30" s="42">
        <f t="array" ref="Q30:Q39">MMULT(TRANSPOSE(C6:L93),B6:B93)</f>
        <v>25832051</v>
      </c>
      <c r="T30" s="42">
        <f t="array" ref="T30:T39">MMULT(Q18:Z27,Q30:Q39)</f>
        <v>245676.06396089494</v>
      </c>
      <c r="AJ30" s="37" t="s">
        <v>192</v>
      </c>
      <c r="AL30" s="81">
        <v>-221161.37456035987</v>
      </c>
      <c r="AN30" s="50"/>
      <c r="AO30" s="50"/>
      <c r="AP30" s="50"/>
      <c r="AQ30" s="80"/>
      <c r="AR30" s="50"/>
      <c r="AS30" s="50"/>
    </row>
    <row r="31" spans="2:45">
      <c r="B31">
        <v>202500</v>
      </c>
      <c r="C31">
        <v>1</v>
      </c>
      <c r="D31">
        <v>6341</v>
      </c>
      <c r="E31">
        <v>1574</v>
      </c>
      <c r="F31">
        <f t="shared" si="1"/>
        <v>2477476</v>
      </c>
      <c r="G31">
        <v>3</v>
      </c>
      <c r="H31">
        <v>0</v>
      </c>
      <c r="I31">
        <f t="shared" si="2"/>
        <v>0</v>
      </c>
      <c r="J31">
        <f t="shared" si="3"/>
        <v>0</v>
      </c>
      <c r="K31">
        <f t="shared" si="4"/>
        <v>0</v>
      </c>
      <c r="L31">
        <f t="shared" si="5"/>
        <v>0</v>
      </c>
      <c r="M31">
        <f t="shared" si="6"/>
        <v>383791832.260607</v>
      </c>
      <c r="N31">
        <f t="shared" si="0"/>
        <v>8289380323.6829853</v>
      </c>
      <c r="Q31" s="42">
        <v>264561065225</v>
      </c>
      <c r="T31" s="42">
        <v>5.838896229227359</v>
      </c>
      <c r="V31" s="38" t="s">
        <v>154</v>
      </c>
      <c r="W31">
        <f>AVERAGE(B6:B93)</f>
        <v>293546.03409090912</v>
      </c>
      <c r="AL31" s="42">
        <v>-4.3683215753086841</v>
      </c>
      <c r="AN31" s="38" t="s">
        <v>125</v>
      </c>
      <c r="AO31" s="40">
        <f t="array" ref="AO31:AS31">TRANSPOSE(AO25:AO29)</f>
        <v>-221161.37456035987</v>
      </c>
      <c r="AP31" s="50">
        <v>-4.3683215753086841</v>
      </c>
      <c r="AQ31" s="50">
        <v>219.16278493980599</v>
      </c>
      <c r="AR31" s="50">
        <v>-3.747291477282233E-2</v>
      </c>
      <c r="AS31" s="41">
        <v>1575.1204599775374</v>
      </c>
    </row>
    <row r="32" spans="2:45">
      <c r="B32">
        <v>219000</v>
      </c>
      <c r="C32">
        <v>1</v>
      </c>
      <c r="D32">
        <v>6362</v>
      </c>
      <c r="E32">
        <v>1185</v>
      </c>
      <c r="F32">
        <f t="shared" si="1"/>
        <v>1404225</v>
      </c>
      <c r="G32">
        <v>2</v>
      </c>
      <c r="H32">
        <v>0</v>
      </c>
      <c r="I32">
        <f t="shared" si="2"/>
        <v>0</v>
      </c>
      <c r="J32">
        <f t="shared" si="3"/>
        <v>0</v>
      </c>
      <c r="K32">
        <f t="shared" si="4"/>
        <v>0</v>
      </c>
      <c r="L32">
        <f t="shared" si="5"/>
        <v>0</v>
      </c>
      <c r="M32">
        <f t="shared" si="6"/>
        <v>41884280.630857617</v>
      </c>
      <c r="N32">
        <f t="shared" si="0"/>
        <v>5557111198.6829844</v>
      </c>
      <c r="Q32" s="42">
        <v>56081708454</v>
      </c>
      <c r="T32" s="42">
        <v>-133.30065730384922</v>
      </c>
      <c r="V32" s="39" t="s">
        <v>114</v>
      </c>
      <c r="W32">
        <f>(M94/(88-10))^0.5</f>
        <v>56792.048082389287</v>
      </c>
      <c r="AL32" s="42">
        <v>219.16278493980599</v>
      </c>
    </row>
    <row r="33" spans="2:45" ht="18.75">
      <c r="B33">
        <v>300000</v>
      </c>
      <c r="C33">
        <v>1</v>
      </c>
      <c r="D33">
        <v>6126</v>
      </c>
      <c r="E33">
        <v>2438</v>
      </c>
      <c r="F33">
        <f t="shared" si="1"/>
        <v>5943844</v>
      </c>
      <c r="G33">
        <v>4</v>
      </c>
      <c r="H33">
        <v>1</v>
      </c>
      <c r="I33">
        <f t="shared" si="2"/>
        <v>6126</v>
      </c>
      <c r="J33">
        <f t="shared" si="3"/>
        <v>2438</v>
      </c>
      <c r="K33">
        <f t="shared" si="4"/>
        <v>5943844</v>
      </c>
      <c r="L33">
        <f t="shared" si="5"/>
        <v>4</v>
      </c>
      <c r="M33">
        <f t="shared" si="6"/>
        <v>2635257617.7738757</v>
      </c>
      <c r="N33">
        <f t="shared" si="0"/>
        <v>41653675.955707304</v>
      </c>
      <c r="Q33" s="42">
        <v>133414092020966</v>
      </c>
      <c r="T33" s="42">
        <v>4.7706744396791373E-2</v>
      </c>
      <c r="V33" s="38" t="s">
        <v>187</v>
      </c>
      <c r="W33">
        <f>1-M94/N94</f>
        <v>0.72590834133871907</v>
      </c>
      <c r="AL33" s="42">
        <v>-3.747291477282233E-2</v>
      </c>
      <c r="AO33" s="40">
        <f t="array" ref="AO33:AS37">MINVERSE(MMULT(MMULT(AJ6:AS10,AJ13:AS22),TRANSPOSE(AJ6:AS10)))</f>
        <v>4.8718395481153805E-9</v>
      </c>
      <c r="AP33" s="50">
        <v>4.1154217941582857E-5</v>
      </c>
      <c r="AQ33" s="50">
        <v>9.6996322138781133E-6</v>
      </c>
      <c r="AR33" s="50">
        <v>2.1012312582020434E-2</v>
      </c>
      <c r="AS33" s="41">
        <v>1.6177190834451951E-8</v>
      </c>
    </row>
    <row r="34" spans="2:45" ht="18.75">
      <c r="B34">
        <v>370000</v>
      </c>
      <c r="C34">
        <v>1</v>
      </c>
      <c r="D34">
        <v>9903</v>
      </c>
      <c r="E34">
        <v>2076</v>
      </c>
      <c r="F34">
        <f t="shared" si="1"/>
        <v>4309776</v>
      </c>
      <c r="G34">
        <v>3</v>
      </c>
      <c r="H34">
        <v>1</v>
      </c>
      <c r="I34">
        <f t="shared" si="2"/>
        <v>9903</v>
      </c>
      <c r="J34">
        <f t="shared" si="3"/>
        <v>2076</v>
      </c>
      <c r="K34">
        <f t="shared" si="4"/>
        <v>4309776</v>
      </c>
      <c r="L34">
        <f t="shared" si="5"/>
        <v>3</v>
      </c>
      <c r="M34">
        <f t="shared" si="6"/>
        <v>5303995811.5991745</v>
      </c>
      <c r="N34">
        <f t="shared" si="0"/>
        <v>5845208903.2284307</v>
      </c>
      <c r="P34" s="38" t="s">
        <v>95</v>
      </c>
      <c r="Q34" s="42">
        <v>95993604</v>
      </c>
      <c r="S34" s="39" t="s">
        <v>96</v>
      </c>
      <c r="T34" s="42">
        <v>10337.673693045974</v>
      </c>
      <c r="V34" s="38" t="s">
        <v>188</v>
      </c>
      <c r="W34">
        <f>'Ex7'!O23</f>
        <v>0.68634763318140979</v>
      </c>
      <c r="AL34" s="42">
        <v>1575.1204599775374</v>
      </c>
      <c r="AN34" s="51" t="s">
        <v>120</v>
      </c>
      <c r="AO34" s="40">
        <v>4.1154217941576006E-5</v>
      </c>
      <c r="AP34" s="50">
        <v>0.62100220437374143</v>
      </c>
      <c r="AQ34" s="50">
        <v>8.9774213958539933E-2</v>
      </c>
      <c r="AR34" s="50">
        <v>219.28082629284145</v>
      </c>
      <c r="AS34" s="41">
        <v>1.4077659014991386E-4</v>
      </c>
    </row>
    <row r="35" spans="2:45">
      <c r="B35">
        <v>195000</v>
      </c>
      <c r="C35">
        <v>1</v>
      </c>
      <c r="D35">
        <v>4600</v>
      </c>
      <c r="E35">
        <v>1448</v>
      </c>
      <c r="F35">
        <f t="shared" si="1"/>
        <v>2096704</v>
      </c>
      <c r="G35">
        <v>3</v>
      </c>
      <c r="H35">
        <v>1</v>
      </c>
      <c r="I35">
        <f t="shared" si="2"/>
        <v>4600</v>
      </c>
      <c r="J35">
        <f t="shared" si="3"/>
        <v>1448</v>
      </c>
      <c r="K35">
        <f t="shared" si="4"/>
        <v>2096704</v>
      </c>
      <c r="L35">
        <f t="shared" si="5"/>
        <v>3</v>
      </c>
      <c r="M35">
        <f t="shared" si="6"/>
        <v>316960609.76491249</v>
      </c>
      <c r="N35">
        <f t="shared" si="0"/>
        <v>9711320835.0466213</v>
      </c>
      <c r="Q35" s="42">
        <v>18478051</v>
      </c>
      <c r="T35" s="42">
        <v>-221161.37456035987</v>
      </c>
      <c r="V35" s="38" t="s">
        <v>168</v>
      </c>
      <c r="W35">
        <v>88</v>
      </c>
      <c r="AL35" s="37" t="s">
        <v>193</v>
      </c>
      <c r="AO35" s="40">
        <v>9.6996322138782352E-6</v>
      </c>
      <c r="AP35" s="50">
        <v>8.977421395855878E-2</v>
      </c>
      <c r="AQ35" s="50">
        <v>2.1457281231172819E-2</v>
      </c>
      <c r="AR35" s="50">
        <v>52.178536639781562</v>
      </c>
      <c r="AS35" s="41">
        <v>3.3766043860927065E-5</v>
      </c>
    </row>
    <row r="36" spans="2:45">
      <c r="B36">
        <v>373000</v>
      </c>
      <c r="C36">
        <v>1</v>
      </c>
      <c r="D36">
        <v>6095</v>
      </c>
      <c r="E36">
        <v>2514</v>
      </c>
      <c r="F36">
        <f t="shared" si="1"/>
        <v>6320196</v>
      </c>
      <c r="G36">
        <v>4</v>
      </c>
      <c r="H36">
        <v>1</v>
      </c>
      <c r="I36">
        <f t="shared" si="2"/>
        <v>6095</v>
      </c>
      <c r="J36">
        <f t="shared" si="3"/>
        <v>2514</v>
      </c>
      <c r="K36">
        <f t="shared" si="4"/>
        <v>6320196</v>
      </c>
      <c r="L36">
        <f t="shared" si="5"/>
        <v>4</v>
      </c>
      <c r="M36">
        <f t="shared" si="6"/>
        <v>128454649.35085711</v>
      </c>
      <c r="N36">
        <f t="shared" si="0"/>
        <v>6312932698.6829758</v>
      </c>
      <c r="Q36" s="42">
        <v>188044582725</v>
      </c>
      <c r="R36" s="50"/>
      <c r="S36" s="61"/>
      <c r="T36" s="42">
        <v>-4.3683215753086841</v>
      </c>
      <c r="V36" s="38" t="s">
        <v>169</v>
      </c>
      <c r="W36">
        <v>5</v>
      </c>
      <c r="AO36" s="40">
        <v>2.101231258202084E-2</v>
      </c>
      <c r="AP36" s="50">
        <v>219.28082629286166</v>
      </c>
      <c r="AQ36" s="50">
        <v>52.178536639782152</v>
      </c>
      <c r="AR36" s="50">
        <v>141716.97189457595</v>
      </c>
      <c r="AS36" s="41">
        <v>7.735446477076606E-2</v>
      </c>
    </row>
    <row r="37" spans="2:45">
      <c r="B37">
        <v>466275</v>
      </c>
      <c r="C37">
        <v>1</v>
      </c>
      <c r="D37">
        <v>8566</v>
      </c>
      <c r="E37">
        <v>2754</v>
      </c>
      <c r="F37">
        <f t="shared" si="1"/>
        <v>7584516</v>
      </c>
      <c r="G37">
        <v>5</v>
      </c>
      <c r="H37">
        <v>1</v>
      </c>
      <c r="I37">
        <f t="shared" si="2"/>
        <v>8566</v>
      </c>
      <c r="J37">
        <f t="shared" si="3"/>
        <v>2754</v>
      </c>
      <c r="K37">
        <f t="shared" si="4"/>
        <v>7584516</v>
      </c>
      <c r="L37">
        <f t="shared" si="5"/>
        <v>5</v>
      </c>
      <c r="M37">
        <f t="shared" si="6"/>
        <v>3082076588.6974425</v>
      </c>
      <c r="N37">
        <f t="shared" si="0"/>
        <v>29835295664.02388</v>
      </c>
      <c r="Q37" s="42">
        <v>40244104954</v>
      </c>
      <c r="R37" s="50"/>
      <c r="S37" s="50"/>
      <c r="T37" s="42">
        <v>219.16278493980599</v>
      </c>
      <c r="V37" s="38" t="s">
        <v>189</v>
      </c>
      <c r="W37">
        <f>(W33-W34)/(1-W33)*(W35-2*W36)/W36</f>
        <v>2.2516082768381045</v>
      </c>
      <c r="AO37" s="40">
        <v>1.6177190834452024E-8</v>
      </c>
      <c r="AP37" s="50">
        <v>1.4077659014991546E-4</v>
      </c>
      <c r="AQ37" s="50">
        <v>3.3766043860927085E-5</v>
      </c>
      <c r="AR37" s="50">
        <v>7.7354464770765116E-2</v>
      </c>
      <c r="AS37" s="41">
        <v>5.683778148142162E-8</v>
      </c>
    </row>
    <row r="38" spans="2:45">
      <c r="B38">
        <v>332500</v>
      </c>
      <c r="C38">
        <v>1</v>
      </c>
      <c r="D38">
        <v>9000</v>
      </c>
      <c r="E38">
        <v>2067</v>
      </c>
      <c r="F38">
        <f t="shared" si="1"/>
        <v>4272489</v>
      </c>
      <c r="G38">
        <v>3</v>
      </c>
      <c r="H38">
        <v>1</v>
      </c>
      <c r="I38">
        <f t="shared" si="2"/>
        <v>9000</v>
      </c>
      <c r="J38">
        <f t="shared" si="3"/>
        <v>2067</v>
      </c>
      <c r="K38">
        <f t="shared" si="4"/>
        <v>4272489</v>
      </c>
      <c r="L38">
        <f t="shared" si="5"/>
        <v>3</v>
      </c>
      <c r="M38">
        <f t="shared" si="6"/>
        <v>1429657650.4515307</v>
      </c>
      <c r="N38">
        <f t="shared" ref="N38:N69" si="7">(B38-W$31)^2</f>
        <v>1517411460.0466146</v>
      </c>
      <c r="Q38" s="42">
        <v>94677511010466</v>
      </c>
      <c r="R38" s="50"/>
      <c r="S38" s="50"/>
      <c r="T38" s="42">
        <v>-3.747291477282233E-2</v>
      </c>
    </row>
    <row r="39" spans="2:45">
      <c r="B39">
        <v>315000</v>
      </c>
      <c r="C39">
        <v>1</v>
      </c>
      <c r="D39">
        <v>6210</v>
      </c>
      <c r="E39">
        <v>1731</v>
      </c>
      <c r="F39">
        <f t="shared" si="1"/>
        <v>2996361</v>
      </c>
      <c r="G39">
        <v>3</v>
      </c>
      <c r="H39">
        <v>1</v>
      </c>
      <c r="I39">
        <f t="shared" si="2"/>
        <v>6210</v>
      </c>
      <c r="J39">
        <f t="shared" si="3"/>
        <v>1731</v>
      </c>
      <c r="K39">
        <f t="shared" si="4"/>
        <v>2996361</v>
      </c>
      <c r="L39">
        <f t="shared" si="5"/>
        <v>3</v>
      </c>
      <c r="M39">
        <f t="shared" si="6"/>
        <v>4398749433.2707281</v>
      </c>
      <c r="N39">
        <f t="shared" si="7"/>
        <v>460272653.22843379</v>
      </c>
      <c r="Q39" s="42">
        <v>71513104</v>
      </c>
      <c r="R39" s="50"/>
      <c r="T39" s="42">
        <v>1575.1204599775374</v>
      </c>
    </row>
    <row r="40" spans="2:45" ht="17.25">
      <c r="B40">
        <v>285000</v>
      </c>
      <c r="C40">
        <v>1</v>
      </c>
      <c r="D40">
        <v>6000</v>
      </c>
      <c r="E40">
        <v>2336</v>
      </c>
      <c r="F40">
        <f t="shared" si="1"/>
        <v>5456896</v>
      </c>
      <c r="G40">
        <v>4</v>
      </c>
      <c r="H40">
        <v>1</v>
      </c>
      <c r="I40">
        <f t="shared" si="2"/>
        <v>6000</v>
      </c>
      <c r="J40">
        <f t="shared" si="3"/>
        <v>2336</v>
      </c>
      <c r="K40">
        <f t="shared" si="4"/>
        <v>5456896</v>
      </c>
      <c r="L40">
        <f t="shared" si="5"/>
        <v>4</v>
      </c>
      <c r="M40">
        <f t="shared" si="6"/>
        <v>2746618172.9499049</v>
      </c>
      <c r="N40">
        <f t="shared" si="7"/>
        <v>73034698.682980821</v>
      </c>
      <c r="R40" s="50"/>
      <c r="S40" s="50"/>
      <c r="T40" s="50"/>
      <c r="AL40" s="38" t="s">
        <v>132</v>
      </c>
      <c r="AM40" s="46">
        <f t="array" ref="AM40">MMULT(MMULT(AO31:AS31,AO33:AS37),AO25:AO29)</f>
        <v>11.258041384152159</v>
      </c>
      <c r="AN40" s="82" t="s">
        <v>194</v>
      </c>
    </row>
    <row r="41" spans="2:45">
      <c r="B41">
        <v>300000</v>
      </c>
      <c r="C41">
        <v>1</v>
      </c>
      <c r="D41">
        <v>7047</v>
      </c>
      <c r="E41">
        <v>2634</v>
      </c>
      <c r="F41">
        <f t="shared" si="1"/>
        <v>6937956</v>
      </c>
      <c r="G41">
        <v>5</v>
      </c>
      <c r="H41">
        <v>1</v>
      </c>
      <c r="I41">
        <f t="shared" si="2"/>
        <v>7047</v>
      </c>
      <c r="J41">
        <f t="shared" si="3"/>
        <v>2634</v>
      </c>
      <c r="K41">
        <f t="shared" si="4"/>
        <v>6937956</v>
      </c>
      <c r="L41">
        <f t="shared" si="5"/>
        <v>5</v>
      </c>
      <c r="M41">
        <f t="shared" si="6"/>
        <v>8391385077.5162439</v>
      </c>
      <c r="N41">
        <f t="shared" si="7"/>
        <v>41653675.955707304</v>
      </c>
    </row>
    <row r="42" spans="2:45">
      <c r="B42">
        <v>405000</v>
      </c>
      <c r="C42">
        <v>1</v>
      </c>
      <c r="D42">
        <v>12237</v>
      </c>
      <c r="E42">
        <v>3375</v>
      </c>
      <c r="F42">
        <f t="shared" si="1"/>
        <v>11390625</v>
      </c>
      <c r="G42">
        <v>3</v>
      </c>
      <c r="H42">
        <v>1</v>
      </c>
      <c r="I42">
        <f t="shared" si="2"/>
        <v>12237</v>
      </c>
      <c r="J42">
        <f t="shared" si="3"/>
        <v>3375</v>
      </c>
      <c r="K42">
        <f t="shared" si="4"/>
        <v>11390625</v>
      </c>
      <c r="L42">
        <f t="shared" si="5"/>
        <v>3</v>
      </c>
      <c r="M42">
        <f t="shared" si="6"/>
        <v>6336620133.205843</v>
      </c>
      <c r="N42">
        <f t="shared" si="7"/>
        <v>12421986516.864792</v>
      </c>
    </row>
    <row r="43" spans="2:45">
      <c r="B43">
        <v>265000</v>
      </c>
      <c r="C43">
        <v>1</v>
      </c>
      <c r="D43">
        <v>6519</v>
      </c>
      <c r="E43">
        <v>2312</v>
      </c>
      <c r="F43">
        <f t="shared" si="1"/>
        <v>5345344</v>
      </c>
      <c r="G43">
        <v>3</v>
      </c>
      <c r="H43">
        <v>1</v>
      </c>
      <c r="I43">
        <f t="shared" si="2"/>
        <v>6519</v>
      </c>
      <c r="J43">
        <f t="shared" si="3"/>
        <v>2312</v>
      </c>
      <c r="K43">
        <f t="shared" si="4"/>
        <v>5345344</v>
      </c>
      <c r="L43">
        <f t="shared" si="5"/>
        <v>3</v>
      </c>
      <c r="M43">
        <f t="shared" si="6"/>
        <v>3370537093.1589837</v>
      </c>
      <c r="N43">
        <f t="shared" si="7"/>
        <v>814876062.31934547</v>
      </c>
    </row>
    <row r="44" spans="2:45">
      <c r="B44">
        <v>227400</v>
      </c>
      <c r="C44">
        <v>1</v>
      </c>
      <c r="D44">
        <v>3597</v>
      </c>
      <c r="E44">
        <v>1760</v>
      </c>
      <c r="F44">
        <f t="shared" si="1"/>
        <v>3097600</v>
      </c>
      <c r="G44">
        <v>4</v>
      </c>
      <c r="H44">
        <v>1</v>
      </c>
      <c r="I44">
        <f t="shared" si="2"/>
        <v>3597</v>
      </c>
      <c r="J44">
        <f t="shared" si="3"/>
        <v>1760</v>
      </c>
      <c r="K44">
        <f t="shared" si="4"/>
        <v>3097600</v>
      </c>
      <c r="L44">
        <f t="shared" si="5"/>
        <v>4</v>
      </c>
      <c r="M44">
        <f t="shared" si="6"/>
        <v>1080645853.2046721</v>
      </c>
      <c r="N44">
        <f t="shared" si="7"/>
        <v>4375297825.9557114</v>
      </c>
    </row>
    <row r="45" spans="2:45">
      <c r="B45">
        <v>285000</v>
      </c>
      <c r="C45">
        <v>1</v>
      </c>
      <c r="D45">
        <v>7123</v>
      </c>
      <c r="E45">
        <v>1774</v>
      </c>
      <c r="F45">
        <f t="shared" si="1"/>
        <v>3147076</v>
      </c>
      <c r="G45">
        <v>3</v>
      </c>
      <c r="H45">
        <v>1</v>
      </c>
      <c r="I45">
        <f t="shared" si="2"/>
        <v>7123</v>
      </c>
      <c r="J45">
        <f t="shared" si="3"/>
        <v>1774</v>
      </c>
      <c r="K45">
        <f t="shared" si="4"/>
        <v>3147076</v>
      </c>
      <c r="L45">
        <f t="shared" si="5"/>
        <v>3</v>
      </c>
      <c r="M45">
        <f t="shared" si="6"/>
        <v>884822782.20540726</v>
      </c>
      <c r="N45">
        <f t="shared" si="7"/>
        <v>73034698.682980821</v>
      </c>
    </row>
    <row r="46" spans="2:45">
      <c r="B46">
        <v>268000</v>
      </c>
      <c r="C46">
        <v>1</v>
      </c>
      <c r="D46">
        <v>5642</v>
      </c>
      <c r="E46">
        <v>1376</v>
      </c>
      <c r="F46">
        <f t="shared" si="1"/>
        <v>1893376</v>
      </c>
      <c r="G46">
        <v>3</v>
      </c>
      <c r="H46">
        <v>1</v>
      </c>
      <c r="I46">
        <f t="shared" si="2"/>
        <v>5642</v>
      </c>
      <c r="J46">
        <f t="shared" si="3"/>
        <v>1376</v>
      </c>
      <c r="K46">
        <f t="shared" si="4"/>
        <v>1893376</v>
      </c>
      <c r="L46">
        <f t="shared" si="5"/>
        <v>3</v>
      </c>
      <c r="M46">
        <f t="shared" si="6"/>
        <v>3834974497.882009</v>
      </c>
      <c r="N46">
        <f t="shared" si="7"/>
        <v>652599857.77389085</v>
      </c>
    </row>
    <row r="47" spans="2:45">
      <c r="B47">
        <v>310000</v>
      </c>
      <c r="C47">
        <v>1</v>
      </c>
      <c r="D47">
        <v>8602</v>
      </c>
      <c r="E47">
        <v>1835</v>
      </c>
      <c r="F47">
        <f t="shared" si="1"/>
        <v>3367225</v>
      </c>
      <c r="G47">
        <v>4</v>
      </c>
      <c r="H47">
        <v>1</v>
      </c>
      <c r="I47">
        <f t="shared" si="2"/>
        <v>8602</v>
      </c>
      <c r="J47">
        <f t="shared" si="3"/>
        <v>1835</v>
      </c>
      <c r="K47">
        <f t="shared" si="4"/>
        <v>3367225</v>
      </c>
      <c r="L47">
        <f t="shared" si="5"/>
        <v>4</v>
      </c>
      <c r="M47">
        <f t="shared" si="6"/>
        <v>1100092319.7408183</v>
      </c>
      <c r="N47">
        <f t="shared" si="7"/>
        <v>270732994.13752496</v>
      </c>
    </row>
    <row r="48" spans="2:45">
      <c r="B48">
        <v>266000</v>
      </c>
      <c r="C48">
        <v>1</v>
      </c>
      <c r="D48">
        <v>5494</v>
      </c>
      <c r="E48">
        <v>2048</v>
      </c>
      <c r="F48">
        <f t="shared" si="1"/>
        <v>4194304</v>
      </c>
      <c r="G48">
        <v>3</v>
      </c>
      <c r="H48">
        <v>1</v>
      </c>
      <c r="I48">
        <f t="shared" si="2"/>
        <v>5494</v>
      </c>
      <c r="J48">
        <f t="shared" si="3"/>
        <v>2048</v>
      </c>
      <c r="K48">
        <f t="shared" si="4"/>
        <v>4194304</v>
      </c>
      <c r="L48">
        <f t="shared" si="5"/>
        <v>3</v>
      </c>
      <c r="M48">
        <f t="shared" si="6"/>
        <v>445287606.38829535</v>
      </c>
      <c r="N48">
        <f t="shared" si="7"/>
        <v>758783994.13752723</v>
      </c>
    </row>
    <row r="49" spans="2:14">
      <c r="B49">
        <v>270000</v>
      </c>
      <c r="C49">
        <v>1</v>
      </c>
      <c r="D49">
        <v>7800</v>
      </c>
      <c r="E49">
        <v>2124</v>
      </c>
      <c r="F49">
        <f t="shared" si="1"/>
        <v>4511376</v>
      </c>
      <c r="G49">
        <v>3</v>
      </c>
      <c r="H49">
        <v>1</v>
      </c>
      <c r="I49">
        <f t="shared" si="2"/>
        <v>7800</v>
      </c>
      <c r="J49">
        <f t="shared" si="3"/>
        <v>2124</v>
      </c>
      <c r="K49">
        <f t="shared" si="4"/>
        <v>4511376</v>
      </c>
      <c r="L49">
        <f t="shared" si="5"/>
        <v>3</v>
      </c>
      <c r="M49">
        <f t="shared" si="6"/>
        <v>915871358.72902095</v>
      </c>
      <c r="N49">
        <f t="shared" si="7"/>
        <v>554415721.41025436</v>
      </c>
    </row>
    <row r="50" spans="2:14">
      <c r="B50">
        <v>247000</v>
      </c>
      <c r="C50">
        <v>1</v>
      </c>
      <c r="D50">
        <v>9425</v>
      </c>
      <c r="E50">
        <v>1440</v>
      </c>
      <c r="F50">
        <f t="shared" si="1"/>
        <v>2073600</v>
      </c>
      <c r="G50">
        <v>3</v>
      </c>
      <c r="H50">
        <v>1</v>
      </c>
      <c r="I50">
        <f t="shared" si="2"/>
        <v>9425</v>
      </c>
      <c r="J50">
        <f t="shared" si="3"/>
        <v>1440</v>
      </c>
      <c r="K50">
        <f t="shared" si="4"/>
        <v>2073600</v>
      </c>
      <c r="L50">
        <f t="shared" si="5"/>
        <v>3</v>
      </c>
      <c r="M50">
        <f t="shared" si="6"/>
        <v>785368627.67962718</v>
      </c>
      <c r="N50">
        <f t="shared" si="7"/>
        <v>2166533289.5920739</v>
      </c>
    </row>
    <row r="51" spans="2:14">
      <c r="B51">
        <v>343000</v>
      </c>
      <c r="C51">
        <v>1</v>
      </c>
      <c r="D51">
        <v>8577</v>
      </c>
      <c r="E51">
        <v>2106</v>
      </c>
      <c r="F51">
        <f t="shared" si="1"/>
        <v>4435236</v>
      </c>
      <c r="G51">
        <v>3</v>
      </c>
      <c r="H51">
        <v>1</v>
      </c>
      <c r="I51">
        <f t="shared" si="2"/>
        <v>8577</v>
      </c>
      <c r="J51">
        <f t="shared" si="3"/>
        <v>2106</v>
      </c>
      <c r="K51">
        <f t="shared" si="4"/>
        <v>4435236</v>
      </c>
      <c r="L51">
        <f t="shared" si="5"/>
        <v>3</v>
      </c>
      <c r="M51">
        <f t="shared" si="6"/>
        <v>1928853875.6421523</v>
      </c>
      <c r="N51">
        <f t="shared" si="7"/>
        <v>2445694744.1375232</v>
      </c>
    </row>
    <row r="52" spans="2:14">
      <c r="B52">
        <v>477500</v>
      </c>
      <c r="C52">
        <v>1</v>
      </c>
      <c r="D52">
        <v>8400</v>
      </c>
      <c r="E52">
        <v>3529</v>
      </c>
      <c r="F52">
        <f t="shared" si="1"/>
        <v>12453841</v>
      </c>
      <c r="G52">
        <v>7</v>
      </c>
      <c r="H52">
        <v>1</v>
      </c>
      <c r="I52">
        <f t="shared" si="2"/>
        <v>8400</v>
      </c>
      <c r="J52">
        <f t="shared" si="3"/>
        <v>3529</v>
      </c>
      <c r="K52">
        <f t="shared" si="4"/>
        <v>12453841</v>
      </c>
      <c r="L52">
        <f t="shared" si="5"/>
        <v>7</v>
      </c>
      <c r="M52">
        <f t="shared" si="6"/>
        <v>5360437828.395174</v>
      </c>
      <c r="N52">
        <f t="shared" si="7"/>
        <v>33839061573.682972</v>
      </c>
    </row>
    <row r="53" spans="2:14">
      <c r="B53">
        <v>350000</v>
      </c>
      <c r="C53">
        <v>1</v>
      </c>
      <c r="D53">
        <v>9773</v>
      </c>
      <c r="E53">
        <v>2051</v>
      </c>
      <c r="F53">
        <f t="shared" si="1"/>
        <v>4206601</v>
      </c>
      <c r="G53">
        <v>4</v>
      </c>
      <c r="H53">
        <v>1</v>
      </c>
      <c r="I53">
        <f t="shared" si="2"/>
        <v>9773</v>
      </c>
      <c r="J53">
        <f t="shared" si="3"/>
        <v>2051</v>
      </c>
      <c r="K53">
        <f t="shared" si="4"/>
        <v>4206601</v>
      </c>
      <c r="L53">
        <f t="shared" si="5"/>
        <v>4</v>
      </c>
      <c r="M53">
        <f t="shared" si="6"/>
        <v>1963318159.1878409</v>
      </c>
      <c r="N53">
        <f t="shared" si="7"/>
        <v>3187050266.8647957</v>
      </c>
    </row>
    <row r="54" spans="2:14">
      <c r="B54">
        <v>230000</v>
      </c>
      <c r="C54">
        <v>1</v>
      </c>
      <c r="D54">
        <v>4806</v>
      </c>
      <c r="E54">
        <v>1573</v>
      </c>
      <c r="F54">
        <f t="shared" si="1"/>
        <v>2474329</v>
      </c>
      <c r="G54">
        <v>4</v>
      </c>
      <c r="H54">
        <v>1</v>
      </c>
      <c r="I54">
        <f t="shared" si="2"/>
        <v>4806</v>
      </c>
      <c r="J54">
        <f t="shared" si="3"/>
        <v>1573</v>
      </c>
      <c r="K54">
        <f t="shared" si="4"/>
        <v>2474329</v>
      </c>
      <c r="L54">
        <f t="shared" si="5"/>
        <v>4</v>
      </c>
      <c r="M54">
        <f t="shared" si="6"/>
        <v>92475841.156845003</v>
      </c>
      <c r="N54">
        <f t="shared" si="7"/>
        <v>4038098448.6829839</v>
      </c>
    </row>
    <row r="55" spans="2:14">
      <c r="B55">
        <v>251000</v>
      </c>
      <c r="C55">
        <v>1</v>
      </c>
      <c r="D55">
        <v>5763</v>
      </c>
      <c r="E55">
        <v>1630</v>
      </c>
      <c r="F55">
        <f t="shared" si="1"/>
        <v>2656900</v>
      </c>
      <c r="G55">
        <v>3</v>
      </c>
      <c r="H55">
        <v>1</v>
      </c>
      <c r="I55">
        <f t="shared" si="2"/>
        <v>5763</v>
      </c>
      <c r="J55">
        <f t="shared" si="3"/>
        <v>1630</v>
      </c>
      <c r="K55">
        <f t="shared" si="4"/>
        <v>2656900</v>
      </c>
      <c r="L55">
        <f t="shared" si="5"/>
        <v>3</v>
      </c>
      <c r="M55">
        <f t="shared" si="6"/>
        <v>228810289.34853914</v>
      </c>
      <c r="N55">
        <f t="shared" si="7"/>
        <v>1810165016.8648007</v>
      </c>
    </row>
    <row r="56" spans="2:14">
      <c r="B56">
        <v>235000</v>
      </c>
      <c r="C56">
        <v>1</v>
      </c>
      <c r="D56">
        <v>6383</v>
      </c>
      <c r="E56">
        <v>1840</v>
      </c>
      <c r="F56">
        <f t="shared" si="1"/>
        <v>3385600</v>
      </c>
      <c r="G56">
        <v>4</v>
      </c>
      <c r="H56">
        <v>1</v>
      </c>
      <c r="I56">
        <f t="shared" si="2"/>
        <v>6383</v>
      </c>
      <c r="J56">
        <f t="shared" si="3"/>
        <v>1840</v>
      </c>
      <c r="K56">
        <f t="shared" si="4"/>
        <v>3385600</v>
      </c>
      <c r="L56">
        <f t="shared" si="5"/>
        <v>4</v>
      </c>
      <c r="M56">
        <f t="shared" si="6"/>
        <v>1535582758.2810149</v>
      </c>
      <c r="N56">
        <f t="shared" si="7"/>
        <v>3427638107.7738924</v>
      </c>
    </row>
    <row r="57" spans="2:14">
      <c r="B57">
        <v>361000</v>
      </c>
      <c r="C57">
        <v>1</v>
      </c>
      <c r="D57">
        <v>9000</v>
      </c>
      <c r="E57">
        <v>2066</v>
      </c>
      <c r="F57">
        <f t="shared" si="1"/>
        <v>4268356</v>
      </c>
      <c r="G57">
        <v>4</v>
      </c>
      <c r="H57">
        <v>1</v>
      </c>
      <c r="I57">
        <f t="shared" si="2"/>
        <v>9000</v>
      </c>
      <c r="J57">
        <f t="shared" si="3"/>
        <v>2066</v>
      </c>
      <c r="K57">
        <f t="shared" si="4"/>
        <v>4268356</v>
      </c>
      <c r="L57">
        <f t="shared" si="5"/>
        <v>4</v>
      </c>
      <c r="M57">
        <f t="shared" si="6"/>
        <v>2973104123.0317879</v>
      </c>
      <c r="N57">
        <f t="shared" si="7"/>
        <v>4550037516.8647947</v>
      </c>
    </row>
    <row r="58" spans="2:14">
      <c r="B58">
        <v>360000</v>
      </c>
      <c r="C58">
        <v>1</v>
      </c>
      <c r="D58">
        <v>10892</v>
      </c>
      <c r="E58">
        <v>2750</v>
      </c>
      <c r="F58">
        <f t="shared" si="1"/>
        <v>7562500</v>
      </c>
      <c r="G58">
        <v>4</v>
      </c>
      <c r="H58">
        <v>1</v>
      </c>
      <c r="I58">
        <f t="shared" si="2"/>
        <v>10892</v>
      </c>
      <c r="J58">
        <f t="shared" si="3"/>
        <v>2750</v>
      </c>
      <c r="K58">
        <f t="shared" si="4"/>
        <v>7562500</v>
      </c>
      <c r="L58">
        <f t="shared" si="5"/>
        <v>4</v>
      </c>
      <c r="M58">
        <f t="shared" si="6"/>
        <v>1738685898.9391499</v>
      </c>
      <c r="N58">
        <f t="shared" si="7"/>
        <v>4416129585.0466137</v>
      </c>
    </row>
    <row r="59" spans="2:14">
      <c r="B59">
        <v>575000</v>
      </c>
      <c r="C59">
        <v>1</v>
      </c>
      <c r="D59">
        <v>15634</v>
      </c>
      <c r="E59">
        <v>3880</v>
      </c>
      <c r="F59">
        <f t="shared" si="1"/>
        <v>15054400</v>
      </c>
      <c r="G59">
        <v>5</v>
      </c>
      <c r="H59">
        <v>1</v>
      </c>
      <c r="I59">
        <f t="shared" si="2"/>
        <v>15634</v>
      </c>
      <c r="J59">
        <f t="shared" si="3"/>
        <v>3880</v>
      </c>
      <c r="K59">
        <f t="shared" si="4"/>
        <v>15054400</v>
      </c>
      <c r="L59">
        <f t="shared" si="5"/>
        <v>5</v>
      </c>
      <c r="M59">
        <f t="shared" si="6"/>
        <v>371673834.59818059</v>
      </c>
      <c r="N59">
        <f t="shared" si="7"/>
        <v>79216334925.955688</v>
      </c>
    </row>
    <row r="60" spans="2:14">
      <c r="B60">
        <v>209001</v>
      </c>
      <c r="C60">
        <v>1</v>
      </c>
      <c r="D60">
        <v>6400</v>
      </c>
      <c r="E60">
        <v>1854</v>
      </c>
      <c r="F60">
        <f t="shared" si="1"/>
        <v>3437316</v>
      </c>
      <c r="G60">
        <v>4</v>
      </c>
      <c r="H60">
        <v>1</v>
      </c>
      <c r="I60">
        <f t="shared" si="2"/>
        <v>6400</v>
      </c>
      <c r="J60">
        <f t="shared" si="3"/>
        <v>1854</v>
      </c>
      <c r="K60">
        <f t="shared" si="4"/>
        <v>3437316</v>
      </c>
      <c r="L60">
        <f t="shared" si="5"/>
        <v>4</v>
      </c>
      <c r="M60">
        <f t="shared" si="6"/>
        <v>4481209238.694231</v>
      </c>
      <c r="N60">
        <f t="shared" si="7"/>
        <v>7147862789.4329853</v>
      </c>
    </row>
    <row r="61" spans="2:14">
      <c r="B61">
        <v>246000</v>
      </c>
      <c r="C61">
        <v>1</v>
      </c>
      <c r="D61">
        <v>6314</v>
      </c>
      <c r="E61">
        <v>1662</v>
      </c>
      <c r="F61">
        <f t="shared" si="1"/>
        <v>2762244</v>
      </c>
      <c r="G61">
        <v>3</v>
      </c>
      <c r="H61">
        <v>1</v>
      </c>
      <c r="I61">
        <f t="shared" si="2"/>
        <v>6314</v>
      </c>
      <c r="J61">
        <f t="shared" si="3"/>
        <v>1662</v>
      </c>
      <c r="K61">
        <f t="shared" si="4"/>
        <v>2762244</v>
      </c>
      <c r="L61">
        <f t="shared" si="5"/>
        <v>3</v>
      </c>
      <c r="M61">
        <f t="shared" si="6"/>
        <v>30145910.553015683</v>
      </c>
      <c r="N61">
        <f t="shared" si="7"/>
        <v>2260625357.7738919</v>
      </c>
    </row>
    <row r="62" spans="2:14">
      <c r="B62">
        <v>713500</v>
      </c>
      <c r="C62">
        <v>1</v>
      </c>
      <c r="D62">
        <v>28231</v>
      </c>
      <c r="E62">
        <v>3331</v>
      </c>
      <c r="F62">
        <f t="shared" si="1"/>
        <v>11095561</v>
      </c>
      <c r="G62">
        <v>5</v>
      </c>
      <c r="H62">
        <v>1</v>
      </c>
      <c r="I62">
        <f t="shared" si="2"/>
        <v>28231</v>
      </c>
      <c r="J62">
        <f t="shared" si="3"/>
        <v>3331</v>
      </c>
      <c r="K62">
        <f t="shared" si="4"/>
        <v>11095561</v>
      </c>
      <c r="L62">
        <f t="shared" si="5"/>
        <v>5</v>
      </c>
      <c r="M62">
        <f t="shared" si="6"/>
        <v>35475239861.487526</v>
      </c>
      <c r="N62">
        <f t="shared" si="7"/>
        <v>176361333482.77386</v>
      </c>
    </row>
    <row r="63" spans="2:14">
      <c r="B63">
        <v>248000</v>
      </c>
      <c r="C63">
        <v>1</v>
      </c>
      <c r="D63">
        <v>7050</v>
      </c>
      <c r="E63">
        <v>1656</v>
      </c>
      <c r="F63">
        <f t="shared" si="1"/>
        <v>2742336</v>
      </c>
      <c r="G63">
        <v>4</v>
      </c>
      <c r="H63">
        <v>1</v>
      </c>
      <c r="I63">
        <f t="shared" si="2"/>
        <v>7050</v>
      </c>
      <c r="J63">
        <f t="shared" si="3"/>
        <v>1656</v>
      </c>
      <c r="K63">
        <f t="shared" si="4"/>
        <v>2742336</v>
      </c>
      <c r="L63">
        <f t="shared" si="5"/>
        <v>4</v>
      </c>
      <c r="M63">
        <f t="shared" si="6"/>
        <v>22902925.289948501</v>
      </c>
      <c r="N63">
        <f t="shared" si="7"/>
        <v>2074441221.4102554</v>
      </c>
    </row>
    <row r="64" spans="2:14">
      <c r="B64">
        <v>375000</v>
      </c>
      <c r="C64">
        <v>1</v>
      </c>
      <c r="D64">
        <v>6637</v>
      </c>
      <c r="E64">
        <v>2293</v>
      </c>
      <c r="F64">
        <f t="shared" si="1"/>
        <v>5257849</v>
      </c>
      <c r="G64">
        <v>5</v>
      </c>
      <c r="H64">
        <v>1</v>
      </c>
      <c r="I64">
        <f t="shared" si="2"/>
        <v>6637</v>
      </c>
      <c r="J64">
        <f t="shared" si="3"/>
        <v>2293</v>
      </c>
      <c r="K64">
        <f t="shared" si="4"/>
        <v>5257849</v>
      </c>
      <c r="L64">
        <f t="shared" si="5"/>
        <v>5</v>
      </c>
      <c r="M64">
        <f t="shared" si="6"/>
        <v>928502947.31419933</v>
      </c>
      <c r="N64">
        <f t="shared" si="7"/>
        <v>6634748562.3193398</v>
      </c>
    </row>
    <row r="65" spans="2:14">
      <c r="B65">
        <v>265000</v>
      </c>
      <c r="C65">
        <v>1</v>
      </c>
      <c r="D65">
        <v>7834</v>
      </c>
      <c r="E65">
        <v>1764</v>
      </c>
      <c r="F65">
        <f t="shared" si="1"/>
        <v>3111696</v>
      </c>
      <c r="G65">
        <v>3</v>
      </c>
      <c r="H65">
        <v>1</v>
      </c>
      <c r="I65">
        <f t="shared" si="2"/>
        <v>7834</v>
      </c>
      <c r="J65">
        <f t="shared" si="3"/>
        <v>1764</v>
      </c>
      <c r="K65">
        <f t="shared" si="4"/>
        <v>3111696</v>
      </c>
      <c r="L65">
        <f t="shared" si="5"/>
        <v>3</v>
      </c>
      <c r="M65">
        <f t="shared" si="6"/>
        <v>98427956.272612765</v>
      </c>
      <c r="N65">
        <f t="shared" si="7"/>
        <v>814876062.31934547</v>
      </c>
    </row>
    <row r="66" spans="2:14">
      <c r="B66">
        <v>253000</v>
      </c>
      <c r="C66">
        <v>1</v>
      </c>
      <c r="D66">
        <v>5850</v>
      </c>
      <c r="E66">
        <v>1536</v>
      </c>
      <c r="F66">
        <f t="shared" si="1"/>
        <v>2359296</v>
      </c>
      <c r="G66">
        <v>3</v>
      </c>
      <c r="H66">
        <v>1</v>
      </c>
      <c r="I66">
        <f t="shared" si="2"/>
        <v>5850</v>
      </c>
      <c r="J66">
        <f t="shared" si="3"/>
        <v>1536</v>
      </c>
      <c r="K66">
        <f t="shared" si="4"/>
        <v>2359296</v>
      </c>
      <c r="L66">
        <f t="shared" si="5"/>
        <v>3</v>
      </c>
      <c r="M66">
        <f t="shared" si="6"/>
        <v>790464756.10728621</v>
      </c>
      <c r="N66">
        <f t="shared" si="7"/>
        <v>1643980880.5011644</v>
      </c>
    </row>
    <row r="67" spans="2:14">
      <c r="B67">
        <v>315000</v>
      </c>
      <c r="C67">
        <v>1</v>
      </c>
      <c r="D67">
        <v>6660</v>
      </c>
      <c r="E67">
        <v>1638</v>
      </c>
      <c r="F67">
        <f t="shared" si="1"/>
        <v>2683044</v>
      </c>
      <c r="G67">
        <v>4</v>
      </c>
      <c r="H67">
        <v>1</v>
      </c>
      <c r="I67">
        <f t="shared" si="2"/>
        <v>6660</v>
      </c>
      <c r="J67">
        <f t="shared" si="3"/>
        <v>1638</v>
      </c>
      <c r="K67">
        <f t="shared" si="4"/>
        <v>2683044</v>
      </c>
      <c r="L67">
        <f t="shared" si="5"/>
        <v>4</v>
      </c>
      <c r="M67">
        <f t="shared" si="6"/>
        <v>4217220036.9746075</v>
      </c>
      <c r="N67">
        <f t="shared" si="7"/>
        <v>460272653.22843379</v>
      </c>
    </row>
    <row r="68" spans="2:14">
      <c r="B68">
        <v>264000</v>
      </c>
      <c r="C68">
        <v>1</v>
      </c>
      <c r="D68">
        <v>6637</v>
      </c>
      <c r="E68">
        <v>1972</v>
      </c>
      <c r="F68">
        <f t="shared" si="1"/>
        <v>3888784</v>
      </c>
      <c r="G68">
        <v>3</v>
      </c>
      <c r="H68">
        <v>1</v>
      </c>
      <c r="I68">
        <f t="shared" si="2"/>
        <v>6637</v>
      </c>
      <c r="J68">
        <f t="shared" si="3"/>
        <v>1972</v>
      </c>
      <c r="K68">
        <f t="shared" si="4"/>
        <v>3888784</v>
      </c>
      <c r="L68">
        <f t="shared" si="5"/>
        <v>3</v>
      </c>
      <c r="M68">
        <f t="shared" si="6"/>
        <v>228933374.935444</v>
      </c>
      <c r="N68">
        <f t="shared" si="7"/>
        <v>872968130.50116372</v>
      </c>
    </row>
    <row r="69" spans="2:14">
      <c r="B69">
        <v>210000</v>
      </c>
      <c r="C69">
        <v>1</v>
      </c>
      <c r="D69">
        <v>5146</v>
      </c>
      <c r="E69">
        <v>1408</v>
      </c>
      <c r="F69">
        <f t="shared" si="1"/>
        <v>1982464</v>
      </c>
      <c r="G69">
        <v>3</v>
      </c>
      <c r="H69">
        <v>1</v>
      </c>
      <c r="I69">
        <f t="shared" si="2"/>
        <v>5146</v>
      </c>
      <c r="J69">
        <f t="shared" si="3"/>
        <v>1408</v>
      </c>
      <c r="K69">
        <f t="shared" si="4"/>
        <v>1982464</v>
      </c>
      <c r="L69">
        <f t="shared" si="5"/>
        <v>3</v>
      </c>
      <c r="M69">
        <f t="shared" si="6"/>
        <v>994560.31423336337</v>
      </c>
      <c r="N69">
        <f t="shared" si="7"/>
        <v>6979939812.3193483</v>
      </c>
    </row>
    <row r="70" spans="2:14">
      <c r="B70">
        <v>180000</v>
      </c>
      <c r="C70">
        <v>1</v>
      </c>
      <c r="D70">
        <v>6017</v>
      </c>
      <c r="E70">
        <v>1812</v>
      </c>
      <c r="F70">
        <f t="shared" si="1"/>
        <v>3283344</v>
      </c>
      <c r="G70">
        <v>3</v>
      </c>
      <c r="H70">
        <v>1</v>
      </c>
      <c r="I70">
        <f t="shared" si="2"/>
        <v>6017</v>
      </c>
      <c r="J70">
        <f t="shared" si="3"/>
        <v>1812</v>
      </c>
      <c r="K70">
        <f t="shared" si="4"/>
        <v>3283344</v>
      </c>
      <c r="L70">
        <f t="shared" si="5"/>
        <v>3</v>
      </c>
      <c r="M70">
        <f t="shared" si="6"/>
        <v>6128522111.1793003</v>
      </c>
      <c r="N70">
        <f t="shared" ref="N70:N93" si="8">(B70-W$31)^2</f>
        <v>12892701857.773895</v>
      </c>
    </row>
    <row r="71" spans="2:14">
      <c r="B71">
        <v>250000</v>
      </c>
      <c r="C71">
        <v>1</v>
      </c>
      <c r="D71">
        <v>8410</v>
      </c>
      <c r="E71">
        <v>1722</v>
      </c>
      <c r="F71">
        <f t="shared" ref="F71:F93" si="9">E71^2</f>
        <v>2965284</v>
      </c>
      <c r="G71">
        <v>3</v>
      </c>
      <c r="H71">
        <v>1</v>
      </c>
      <c r="I71">
        <f t="shared" ref="I71:I93" si="10">H71*D71</f>
        <v>8410</v>
      </c>
      <c r="J71">
        <f t="shared" ref="J71:J93" si="11">H71*E71</f>
        <v>1722</v>
      </c>
      <c r="K71">
        <f t="shared" ref="K71:K93" si="12">H71*F71</f>
        <v>2965284</v>
      </c>
      <c r="L71">
        <f t="shared" ref="L71:L93" si="13">H71*G71</f>
        <v>3</v>
      </c>
      <c r="M71">
        <f t="shared" ref="M71:M93" si="14">(B71-T$30-T$31*D71-T$32*E71-T$33*F71-T$34*G71-T$35*H71-T$36*I71-T$37*J71-T$38*K71-T$39*L71)^2</f>
        <v>674697.51785796985</v>
      </c>
      <c r="N71">
        <f t="shared" si="8"/>
        <v>1896257085.0466189</v>
      </c>
    </row>
    <row r="72" spans="2:14">
      <c r="B72">
        <v>250000</v>
      </c>
      <c r="C72">
        <v>1</v>
      </c>
      <c r="D72">
        <v>5625</v>
      </c>
      <c r="E72">
        <v>1780</v>
      </c>
      <c r="F72">
        <f t="shared" si="9"/>
        <v>3168400</v>
      </c>
      <c r="G72">
        <v>4</v>
      </c>
      <c r="H72">
        <v>1</v>
      </c>
      <c r="I72">
        <f t="shared" si="10"/>
        <v>5625</v>
      </c>
      <c r="J72">
        <f t="shared" si="11"/>
        <v>1780</v>
      </c>
      <c r="K72">
        <f t="shared" si="12"/>
        <v>3168400</v>
      </c>
      <c r="L72">
        <f t="shared" si="13"/>
        <v>4</v>
      </c>
      <c r="M72">
        <f t="shared" si="14"/>
        <v>246405271.66652668</v>
      </c>
      <c r="N72">
        <f t="shared" si="8"/>
        <v>1896257085.0466189</v>
      </c>
    </row>
    <row r="73" spans="2:14">
      <c r="B73">
        <v>209000</v>
      </c>
      <c r="C73">
        <v>1</v>
      </c>
      <c r="D73">
        <v>5600</v>
      </c>
      <c r="E73">
        <v>1674</v>
      </c>
      <c r="F73">
        <f t="shared" si="9"/>
        <v>2802276</v>
      </c>
      <c r="G73">
        <v>4</v>
      </c>
      <c r="H73">
        <v>1</v>
      </c>
      <c r="I73">
        <f t="shared" si="10"/>
        <v>5600</v>
      </c>
      <c r="J73">
        <f t="shared" si="11"/>
        <v>1674</v>
      </c>
      <c r="K73">
        <f t="shared" si="12"/>
        <v>2802276</v>
      </c>
      <c r="L73">
        <f t="shared" si="13"/>
        <v>4</v>
      </c>
      <c r="M73">
        <f t="shared" si="14"/>
        <v>1919517708.4437046</v>
      </c>
      <c r="N73">
        <f t="shared" si="8"/>
        <v>7148031880.5011663</v>
      </c>
    </row>
    <row r="74" spans="2:14">
      <c r="B74">
        <v>258000</v>
      </c>
      <c r="C74">
        <v>1</v>
      </c>
      <c r="D74">
        <v>6525</v>
      </c>
      <c r="E74">
        <v>1850</v>
      </c>
      <c r="F74">
        <f t="shared" si="9"/>
        <v>3422500</v>
      </c>
      <c r="G74">
        <v>4</v>
      </c>
      <c r="H74">
        <v>1</v>
      </c>
      <c r="I74">
        <f t="shared" si="10"/>
        <v>6525</v>
      </c>
      <c r="J74">
        <f t="shared" si="11"/>
        <v>1850</v>
      </c>
      <c r="K74">
        <f t="shared" si="12"/>
        <v>3422500</v>
      </c>
      <c r="L74">
        <f t="shared" si="13"/>
        <v>4</v>
      </c>
      <c r="M74">
        <f t="shared" si="14"/>
        <v>310872741.79545909</v>
      </c>
      <c r="N74">
        <f t="shared" si="8"/>
        <v>1263520539.5920732</v>
      </c>
    </row>
    <row r="75" spans="2:14">
      <c r="B75">
        <v>289000</v>
      </c>
      <c r="C75">
        <v>1</v>
      </c>
      <c r="D75">
        <v>6060</v>
      </c>
      <c r="E75">
        <v>1925</v>
      </c>
      <c r="F75">
        <f t="shared" si="9"/>
        <v>3705625</v>
      </c>
      <c r="G75">
        <v>3</v>
      </c>
      <c r="H75">
        <v>1</v>
      </c>
      <c r="I75">
        <f t="shared" si="10"/>
        <v>6060</v>
      </c>
      <c r="J75">
        <f t="shared" si="11"/>
        <v>1925</v>
      </c>
      <c r="K75">
        <f t="shared" si="12"/>
        <v>3705625</v>
      </c>
      <c r="L75">
        <f t="shared" si="13"/>
        <v>3</v>
      </c>
      <c r="M75">
        <f t="shared" si="14"/>
        <v>276487561.84019136</v>
      </c>
      <c r="N75">
        <f t="shared" si="8"/>
        <v>20666425.955707885</v>
      </c>
    </row>
    <row r="76" spans="2:14">
      <c r="B76">
        <v>266000</v>
      </c>
      <c r="C76">
        <v>1</v>
      </c>
      <c r="D76">
        <v>5484</v>
      </c>
      <c r="E76">
        <v>1664</v>
      </c>
      <c r="F76">
        <f t="shared" si="9"/>
        <v>2768896</v>
      </c>
      <c r="G76">
        <v>4</v>
      </c>
      <c r="H76">
        <v>1</v>
      </c>
      <c r="I76">
        <f t="shared" si="10"/>
        <v>5484</v>
      </c>
      <c r="J76">
        <f t="shared" si="11"/>
        <v>1664</v>
      </c>
      <c r="K76">
        <f t="shared" si="12"/>
        <v>2768896</v>
      </c>
      <c r="L76">
        <f t="shared" si="13"/>
        <v>4</v>
      </c>
      <c r="M76">
        <f t="shared" si="14"/>
        <v>211950280.05613515</v>
      </c>
      <c r="N76">
        <f t="shared" si="8"/>
        <v>758783994.13752723</v>
      </c>
    </row>
    <row r="77" spans="2:14">
      <c r="B77">
        <v>310000</v>
      </c>
      <c r="C77">
        <v>1</v>
      </c>
      <c r="D77">
        <v>5348</v>
      </c>
      <c r="E77">
        <v>1386</v>
      </c>
      <c r="F77">
        <f t="shared" si="9"/>
        <v>1920996</v>
      </c>
      <c r="G77">
        <v>6</v>
      </c>
      <c r="H77">
        <v>1</v>
      </c>
      <c r="I77">
        <f t="shared" si="10"/>
        <v>5348</v>
      </c>
      <c r="J77">
        <f t="shared" si="11"/>
        <v>1386</v>
      </c>
      <c r="K77">
        <f t="shared" si="12"/>
        <v>1920996</v>
      </c>
      <c r="L77">
        <f t="shared" si="13"/>
        <v>6</v>
      </c>
      <c r="M77">
        <f t="shared" si="14"/>
        <v>4553531202.8246098</v>
      </c>
      <c r="N77">
        <f t="shared" si="8"/>
        <v>270732994.13752496</v>
      </c>
    </row>
    <row r="78" spans="2:14">
      <c r="B78">
        <v>471250</v>
      </c>
      <c r="C78">
        <v>1</v>
      </c>
      <c r="D78">
        <v>15834</v>
      </c>
      <c r="E78">
        <v>2617</v>
      </c>
      <c r="F78">
        <f t="shared" si="9"/>
        <v>6848689</v>
      </c>
      <c r="G78">
        <v>5</v>
      </c>
      <c r="H78">
        <v>1</v>
      </c>
      <c r="I78">
        <f t="shared" si="10"/>
        <v>15834</v>
      </c>
      <c r="J78">
        <f t="shared" si="11"/>
        <v>2617</v>
      </c>
      <c r="K78">
        <f t="shared" si="12"/>
        <v>6848689</v>
      </c>
      <c r="L78">
        <f t="shared" si="13"/>
        <v>5</v>
      </c>
      <c r="M78">
        <f t="shared" si="14"/>
        <v>4774361740.4888334</v>
      </c>
      <c r="N78">
        <f t="shared" si="8"/>
        <v>31578699499.819336</v>
      </c>
    </row>
    <row r="79" spans="2:14">
      <c r="B79">
        <v>335000</v>
      </c>
      <c r="C79">
        <v>1</v>
      </c>
      <c r="D79">
        <v>8022</v>
      </c>
      <c r="E79">
        <v>2321</v>
      </c>
      <c r="F79">
        <f t="shared" si="9"/>
        <v>5387041</v>
      </c>
      <c r="G79">
        <v>4</v>
      </c>
      <c r="H79">
        <v>1</v>
      </c>
      <c r="I79">
        <f t="shared" si="10"/>
        <v>8022</v>
      </c>
      <c r="J79">
        <f t="shared" si="11"/>
        <v>2321</v>
      </c>
      <c r="K79">
        <f t="shared" si="12"/>
        <v>5387041</v>
      </c>
      <c r="L79">
        <f t="shared" si="13"/>
        <v>4</v>
      </c>
      <c r="M79">
        <f t="shared" si="14"/>
        <v>11416788.837211296</v>
      </c>
      <c r="N79">
        <f t="shared" si="8"/>
        <v>1718431289.5920691</v>
      </c>
    </row>
    <row r="80" spans="2:14">
      <c r="B80">
        <v>495000</v>
      </c>
      <c r="C80">
        <v>1</v>
      </c>
      <c r="D80">
        <v>11966</v>
      </c>
      <c r="E80">
        <v>2638</v>
      </c>
      <c r="F80">
        <f t="shared" si="9"/>
        <v>6959044</v>
      </c>
      <c r="G80">
        <v>4</v>
      </c>
      <c r="H80">
        <v>1</v>
      </c>
      <c r="I80">
        <f t="shared" si="10"/>
        <v>11966</v>
      </c>
      <c r="J80">
        <f t="shared" si="11"/>
        <v>2638</v>
      </c>
      <c r="K80">
        <f t="shared" si="12"/>
        <v>6959044</v>
      </c>
      <c r="L80">
        <f t="shared" si="13"/>
        <v>4</v>
      </c>
      <c r="M80">
        <f t="shared" si="14"/>
        <v>11559534214.948008</v>
      </c>
      <c r="N80">
        <f t="shared" si="8"/>
        <v>40583700380.501152</v>
      </c>
    </row>
    <row r="81" spans="2:14">
      <c r="B81">
        <v>279500</v>
      </c>
      <c r="C81">
        <v>1</v>
      </c>
      <c r="D81">
        <v>8460</v>
      </c>
      <c r="E81">
        <v>1915</v>
      </c>
      <c r="F81">
        <f t="shared" si="9"/>
        <v>3667225</v>
      </c>
      <c r="G81">
        <v>4</v>
      </c>
      <c r="H81">
        <v>1</v>
      </c>
      <c r="I81">
        <f t="shared" si="10"/>
        <v>8460</v>
      </c>
      <c r="J81">
        <f t="shared" si="11"/>
        <v>1915</v>
      </c>
      <c r="K81">
        <f t="shared" si="12"/>
        <v>3667225</v>
      </c>
      <c r="L81">
        <f t="shared" si="13"/>
        <v>4</v>
      </c>
      <c r="M81">
        <f t="shared" si="14"/>
        <v>49881135.911790736</v>
      </c>
      <c r="N81">
        <f t="shared" si="8"/>
        <v>197291073.6829811</v>
      </c>
    </row>
    <row r="82" spans="2:14">
      <c r="B82">
        <v>380000</v>
      </c>
      <c r="C82">
        <v>1</v>
      </c>
      <c r="D82">
        <v>15105</v>
      </c>
      <c r="E82">
        <v>2589</v>
      </c>
      <c r="F82">
        <f t="shared" si="9"/>
        <v>6702921</v>
      </c>
      <c r="G82">
        <v>4</v>
      </c>
      <c r="H82">
        <v>1</v>
      </c>
      <c r="I82">
        <f t="shared" si="10"/>
        <v>15105</v>
      </c>
      <c r="J82">
        <f t="shared" si="11"/>
        <v>2589</v>
      </c>
      <c r="K82">
        <f t="shared" si="12"/>
        <v>6702921</v>
      </c>
      <c r="L82">
        <f t="shared" si="13"/>
        <v>4</v>
      </c>
      <c r="M82">
        <f t="shared" si="14"/>
        <v>27799215.192920271</v>
      </c>
      <c r="N82">
        <f t="shared" si="8"/>
        <v>7474288221.4102488</v>
      </c>
    </row>
    <row r="83" spans="2:14">
      <c r="B83">
        <v>220000</v>
      </c>
      <c r="C83">
        <v>1</v>
      </c>
      <c r="D83">
        <v>6300</v>
      </c>
      <c r="E83">
        <v>1587</v>
      </c>
      <c r="F83">
        <f t="shared" si="9"/>
        <v>2518569</v>
      </c>
      <c r="G83">
        <v>3</v>
      </c>
      <c r="H83">
        <v>1</v>
      </c>
      <c r="I83">
        <f t="shared" si="10"/>
        <v>6300</v>
      </c>
      <c r="J83">
        <f t="shared" si="11"/>
        <v>1587</v>
      </c>
      <c r="K83">
        <f t="shared" si="12"/>
        <v>2518569</v>
      </c>
      <c r="L83">
        <f t="shared" si="13"/>
        <v>3</v>
      </c>
      <c r="M83">
        <f t="shared" si="14"/>
        <v>133529459.60521674</v>
      </c>
      <c r="N83">
        <f t="shared" si="8"/>
        <v>5409019130.5011663</v>
      </c>
    </row>
    <row r="84" spans="2:14">
      <c r="B84">
        <v>240000</v>
      </c>
      <c r="C84">
        <v>1</v>
      </c>
      <c r="D84">
        <v>6000</v>
      </c>
      <c r="E84">
        <v>1536</v>
      </c>
      <c r="F84">
        <f t="shared" si="9"/>
        <v>2359296</v>
      </c>
      <c r="G84">
        <v>3</v>
      </c>
      <c r="H84">
        <v>1</v>
      </c>
      <c r="I84">
        <f t="shared" si="10"/>
        <v>6000</v>
      </c>
      <c r="J84">
        <f t="shared" si="11"/>
        <v>1536</v>
      </c>
      <c r="K84">
        <f t="shared" si="12"/>
        <v>2359296</v>
      </c>
      <c r="L84">
        <f t="shared" si="13"/>
        <v>3</v>
      </c>
      <c r="M84">
        <f t="shared" si="14"/>
        <v>221849671.32846689</v>
      </c>
      <c r="N84">
        <f t="shared" si="8"/>
        <v>2867177766.8648014</v>
      </c>
    </row>
    <row r="85" spans="2:14">
      <c r="B85">
        <v>230000</v>
      </c>
      <c r="C85">
        <v>1</v>
      </c>
      <c r="D85">
        <v>4054</v>
      </c>
      <c r="E85">
        <v>1736</v>
      </c>
      <c r="F85">
        <f t="shared" si="9"/>
        <v>3013696</v>
      </c>
      <c r="G85">
        <v>3</v>
      </c>
      <c r="H85">
        <v>1</v>
      </c>
      <c r="I85">
        <f t="shared" si="10"/>
        <v>4054</v>
      </c>
      <c r="J85">
        <f t="shared" si="11"/>
        <v>1736</v>
      </c>
      <c r="K85">
        <f t="shared" si="12"/>
        <v>3013696</v>
      </c>
      <c r="L85">
        <f t="shared" si="13"/>
        <v>3</v>
      </c>
      <c r="M85">
        <f t="shared" si="14"/>
        <v>259631556.07469699</v>
      </c>
      <c r="N85">
        <f t="shared" si="8"/>
        <v>4038098448.6829839</v>
      </c>
    </row>
    <row r="86" spans="2:14">
      <c r="B86">
        <v>318000</v>
      </c>
      <c r="C86">
        <v>1</v>
      </c>
      <c r="D86">
        <v>92681</v>
      </c>
      <c r="E86">
        <v>1696</v>
      </c>
      <c r="F86">
        <f t="shared" si="9"/>
        <v>2876416</v>
      </c>
      <c r="G86">
        <v>4</v>
      </c>
      <c r="H86">
        <v>1</v>
      </c>
      <c r="I86">
        <f t="shared" si="10"/>
        <v>92681</v>
      </c>
      <c r="J86">
        <f t="shared" si="11"/>
        <v>1696</v>
      </c>
      <c r="K86">
        <f t="shared" si="12"/>
        <v>2876416</v>
      </c>
      <c r="L86">
        <f t="shared" si="13"/>
        <v>4</v>
      </c>
      <c r="M86">
        <f t="shared" si="14"/>
        <v>4292754463.7595806</v>
      </c>
      <c r="N86">
        <f t="shared" si="8"/>
        <v>597996448.68297911</v>
      </c>
    </row>
    <row r="87" spans="2:14">
      <c r="B87">
        <v>330000</v>
      </c>
      <c r="C87">
        <v>1</v>
      </c>
      <c r="D87">
        <v>8178</v>
      </c>
      <c r="E87">
        <v>2186</v>
      </c>
      <c r="F87">
        <f t="shared" si="9"/>
        <v>4778596</v>
      </c>
      <c r="G87">
        <v>3</v>
      </c>
      <c r="H87">
        <v>1</v>
      </c>
      <c r="I87">
        <f t="shared" si="10"/>
        <v>8178</v>
      </c>
      <c r="J87">
        <f t="shared" si="11"/>
        <v>2186</v>
      </c>
      <c r="K87">
        <f t="shared" si="12"/>
        <v>4778596</v>
      </c>
      <c r="L87">
        <f t="shared" si="13"/>
        <v>3</v>
      </c>
      <c r="M87">
        <f t="shared" si="14"/>
        <v>446165088.45059699</v>
      </c>
      <c r="N87">
        <f t="shared" si="8"/>
        <v>1328891630.5011601</v>
      </c>
    </row>
    <row r="88" spans="2:14">
      <c r="B88">
        <v>246000</v>
      </c>
      <c r="C88">
        <v>1</v>
      </c>
      <c r="D88">
        <v>5944</v>
      </c>
      <c r="E88">
        <v>1928</v>
      </c>
      <c r="F88">
        <f t="shared" si="9"/>
        <v>3717184</v>
      </c>
      <c r="G88">
        <v>4</v>
      </c>
      <c r="H88">
        <v>1</v>
      </c>
      <c r="I88">
        <f t="shared" si="10"/>
        <v>5944</v>
      </c>
      <c r="J88">
        <f t="shared" si="11"/>
        <v>1928</v>
      </c>
      <c r="K88">
        <f t="shared" si="12"/>
        <v>3717184</v>
      </c>
      <c r="L88">
        <f t="shared" si="13"/>
        <v>4</v>
      </c>
      <c r="M88">
        <f t="shared" si="14"/>
        <v>1481493307.8413827</v>
      </c>
      <c r="N88">
        <f t="shared" si="8"/>
        <v>2260625357.7738919</v>
      </c>
    </row>
    <row r="89" spans="2:14">
      <c r="B89">
        <v>111000</v>
      </c>
      <c r="C89">
        <v>1</v>
      </c>
      <c r="D89">
        <v>4315</v>
      </c>
      <c r="E89">
        <v>1535</v>
      </c>
      <c r="F89">
        <f t="shared" si="9"/>
        <v>2356225</v>
      </c>
      <c r="G89">
        <v>4</v>
      </c>
      <c r="H89">
        <v>1</v>
      </c>
      <c r="I89">
        <f t="shared" si="10"/>
        <v>4315</v>
      </c>
      <c r="J89">
        <f t="shared" si="11"/>
        <v>1535</v>
      </c>
      <c r="K89">
        <f t="shared" si="12"/>
        <v>2356225</v>
      </c>
      <c r="L89">
        <f t="shared" si="13"/>
        <v>4</v>
      </c>
      <c r="M89">
        <f t="shared" si="14"/>
        <v>15233228726.609257</v>
      </c>
      <c r="N89">
        <f t="shared" si="8"/>
        <v>33323054562.319355</v>
      </c>
    </row>
    <row r="90" spans="2:14">
      <c r="B90">
        <v>268125</v>
      </c>
      <c r="C90">
        <v>1</v>
      </c>
      <c r="D90">
        <v>5167</v>
      </c>
      <c r="E90">
        <v>1980</v>
      </c>
      <c r="F90">
        <f t="shared" si="9"/>
        <v>3920400</v>
      </c>
      <c r="G90">
        <v>3</v>
      </c>
      <c r="H90">
        <v>1</v>
      </c>
      <c r="I90">
        <f t="shared" si="10"/>
        <v>5167</v>
      </c>
      <c r="J90">
        <f t="shared" si="11"/>
        <v>1980</v>
      </c>
      <c r="K90">
        <f t="shared" si="12"/>
        <v>3920400</v>
      </c>
      <c r="L90">
        <f t="shared" si="13"/>
        <v>3</v>
      </c>
      <c r="M90">
        <f t="shared" si="14"/>
        <v>97106232.684123039</v>
      </c>
      <c r="N90">
        <f t="shared" si="8"/>
        <v>646228974.25116348</v>
      </c>
    </row>
    <row r="91" spans="2:14">
      <c r="B91">
        <v>244000</v>
      </c>
      <c r="C91">
        <v>1</v>
      </c>
      <c r="D91">
        <v>7893</v>
      </c>
      <c r="E91">
        <v>2090</v>
      </c>
      <c r="F91">
        <f t="shared" si="9"/>
        <v>4368100</v>
      </c>
      <c r="G91">
        <v>4</v>
      </c>
      <c r="H91">
        <v>1</v>
      </c>
      <c r="I91">
        <f t="shared" si="10"/>
        <v>7893</v>
      </c>
      <c r="J91">
        <f t="shared" si="11"/>
        <v>2090</v>
      </c>
      <c r="K91">
        <f t="shared" si="12"/>
        <v>4368100</v>
      </c>
      <c r="L91">
        <f t="shared" si="13"/>
        <v>4</v>
      </c>
      <c r="M91">
        <f t="shared" si="14"/>
        <v>4086706039.1058421</v>
      </c>
      <c r="N91">
        <f t="shared" si="8"/>
        <v>2454809494.1375284</v>
      </c>
    </row>
    <row r="92" spans="2:14">
      <c r="B92">
        <v>295000</v>
      </c>
      <c r="C92">
        <v>1</v>
      </c>
      <c r="D92">
        <v>6056</v>
      </c>
      <c r="E92">
        <v>1837</v>
      </c>
      <c r="F92">
        <f t="shared" si="9"/>
        <v>3374569</v>
      </c>
      <c r="G92">
        <v>3</v>
      </c>
      <c r="H92">
        <v>1</v>
      </c>
      <c r="I92">
        <f t="shared" si="10"/>
        <v>6056</v>
      </c>
      <c r="J92">
        <f t="shared" si="11"/>
        <v>1837</v>
      </c>
      <c r="K92">
        <f t="shared" si="12"/>
        <v>3374569</v>
      </c>
      <c r="L92">
        <f t="shared" si="13"/>
        <v>3</v>
      </c>
      <c r="M92">
        <f t="shared" si="14"/>
        <v>1127457596.9522128</v>
      </c>
      <c r="N92">
        <f t="shared" si="8"/>
        <v>2114016.8647984769</v>
      </c>
    </row>
    <row r="93" spans="2:14">
      <c r="B93">
        <v>242000</v>
      </c>
      <c r="C93">
        <v>1</v>
      </c>
      <c r="D93">
        <v>4950</v>
      </c>
      <c r="E93">
        <v>1774</v>
      </c>
      <c r="F93">
        <f t="shared" si="9"/>
        <v>3147076</v>
      </c>
      <c r="G93">
        <v>4</v>
      </c>
      <c r="H93">
        <v>1</v>
      </c>
      <c r="I93">
        <f t="shared" si="10"/>
        <v>4950</v>
      </c>
      <c r="J93">
        <f t="shared" si="11"/>
        <v>1774</v>
      </c>
      <c r="K93">
        <f t="shared" si="12"/>
        <v>3147076</v>
      </c>
      <c r="L93">
        <f t="shared" si="13"/>
        <v>4</v>
      </c>
      <c r="M93">
        <f t="shared" si="14"/>
        <v>482736466.95415884</v>
      </c>
      <c r="N93">
        <f t="shared" si="8"/>
        <v>2656993630.5011649</v>
      </c>
    </row>
    <row r="94" spans="2:14">
      <c r="M94" s="53">
        <f>SUM(M6:M93)</f>
        <v>251576264580.60849</v>
      </c>
      <c r="N94" s="53">
        <f>SUM(N6:N93)</f>
        <v>917854508266.89832</v>
      </c>
    </row>
    <row r="96" spans="2:14" ht="17.25">
      <c r="M96" s="38" t="s">
        <v>156</v>
      </c>
      <c r="N96" s="46">
        <f>1-M94/N94</f>
        <v>0.72590834133871907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8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2:U46"/>
  <sheetViews>
    <sheetView topLeftCell="A4" workbookViewId="0">
      <selection activeCell="B5" sqref="B5:D45"/>
    </sheetView>
  </sheetViews>
  <sheetFormatPr defaultRowHeight="15"/>
  <cols>
    <col min="2" max="2" width="14.42578125" bestFit="1" customWidth="1"/>
    <col min="3" max="4" width="13.7109375" bestFit="1" customWidth="1"/>
    <col min="5" max="5" width="6.28515625" customWidth="1"/>
    <col min="6" max="6" width="13.42578125" bestFit="1" customWidth="1"/>
    <col min="7" max="7" width="5.28515625" customWidth="1"/>
    <col min="8" max="8" width="13.42578125" bestFit="1" customWidth="1"/>
    <col min="9" max="9" width="12.5703125" bestFit="1" customWidth="1"/>
    <col min="10" max="10" width="9.85546875" customWidth="1"/>
    <col min="12" max="15" width="10.28515625" customWidth="1"/>
    <col min="20" max="20" width="11.85546875" customWidth="1"/>
    <col min="21" max="21" width="4.28515625" customWidth="1"/>
    <col min="22" max="22" width="11.28515625" customWidth="1"/>
  </cols>
  <sheetData>
    <row r="2" spans="2:21">
      <c r="B2" s="79" t="s">
        <v>195</v>
      </c>
    </row>
    <row r="5" spans="2:21" ht="18.75">
      <c r="B5" s="67" t="s">
        <v>3</v>
      </c>
      <c r="C5" s="67" t="s">
        <v>4</v>
      </c>
      <c r="D5" s="67" t="s">
        <v>2</v>
      </c>
      <c r="E5" s="67"/>
      <c r="F5" s="67" t="s">
        <v>196</v>
      </c>
      <c r="G5" s="67" t="s">
        <v>92</v>
      </c>
      <c r="H5" s="67" t="s">
        <v>197</v>
      </c>
      <c r="I5" s="67" t="s">
        <v>198</v>
      </c>
      <c r="J5" s="67" t="s">
        <v>200</v>
      </c>
      <c r="K5" s="67" t="s">
        <v>115</v>
      </c>
      <c r="L5" s="67" t="s">
        <v>155</v>
      </c>
      <c r="M5" s="67" t="s">
        <v>201</v>
      </c>
      <c r="N5" s="67" t="s">
        <v>202</v>
      </c>
      <c r="O5" s="67" t="s">
        <v>203</v>
      </c>
      <c r="R5" s="40">
        <f t="array" ref="R5:T7">MMULT(TRANSPOSE(G6:I45),G6:I45)</f>
        <v>40</v>
      </c>
      <c r="S5" s="50">
        <v>-17.454637114059487</v>
      </c>
      <c r="T5" s="41">
        <v>156.83361251254988</v>
      </c>
      <c r="U5" s="50"/>
    </row>
    <row r="6" spans="2:21">
      <c r="B6" s="36">
        <v>0.92127400000000004</v>
      </c>
      <c r="C6" s="36">
        <v>0.56253916806722604</v>
      </c>
      <c r="D6" s="83">
        <v>33.745902884567002</v>
      </c>
      <c r="E6" s="83"/>
      <c r="F6" s="83">
        <f>LN(B6)</f>
        <v>-8.1997784257546738E-2</v>
      </c>
      <c r="G6" s="87">
        <v>1</v>
      </c>
      <c r="H6" s="83">
        <f t="shared" ref="H6:H45" si="0">LN(C6)</f>
        <v>-0.57529451520825237</v>
      </c>
      <c r="I6" s="83">
        <f t="shared" ref="I6:I45" si="1">LN(D6)</f>
        <v>3.5188590139366167</v>
      </c>
      <c r="J6" s="89">
        <f t="shared" ref="J6:J45" si="2">(F6-R$17-R$18*H6-R$19*I6)</f>
        <v>-1.1143676003589786E-2</v>
      </c>
      <c r="K6" s="90">
        <f>J6^2</f>
        <v>1.2418151487298283E-4</v>
      </c>
      <c r="L6">
        <f t="shared" ref="L6:L45" si="3">(F6-R$22)^2</f>
        <v>4.8459490783444088E-2</v>
      </c>
      <c r="M6" s="90"/>
      <c r="Q6" s="38" t="s">
        <v>93</v>
      </c>
      <c r="R6" s="40">
        <v>-17.454637114059487</v>
      </c>
      <c r="S6" s="50">
        <v>7.7878445351210956</v>
      </c>
      <c r="T6" s="41">
        <v>-68.08552342792467</v>
      </c>
      <c r="U6" s="50"/>
    </row>
    <row r="7" spans="2:21">
      <c r="B7" s="36">
        <v>0.93121666666666603</v>
      </c>
      <c r="C7" s="36">
        <v>0.56412665266106399</v>
      </c>
      <c r="D7" s="83">
        <v>34.949235972658599</v>
      </c>
      <c r="E7" s="83"/>
      <c r="F7" s="83">
        <f t="shared" ref="F7:F45" si="4">LN(B7)</f>
        <v>-7.1263304112440723E-2</v>
      </c>
      <c r="G7" s="87">
        <v>1</v>
      </c>
      <c r="H7" s="83">
        <f t="shared" si="0"/>
        <v>-0.57247649123844058</v>
      </c>
      <c r="I7" s="83">
        <f t="shared" si="1"/>
        <v>3.5538966078588587</v>
      </c>
      <c r="J7" s="89">
        <f t="shared" si="2"/>
        <v>-1.1119420114263256E-2</v>
      </c>
      <c r="K7" s="90">
        <f t="shared" ref="K7:K45" si="5">J7^2</f>
        <v>1.2364150367748228E-4</v>
      </c>
      <c r="L7">
        <f t="shared" si="3"/>
        <v>4.384864673576562E-2</v>
      </c>
      <c r="M7" s="90">
        <f>J6</f>
        <v>-1.1143676003589786E-2</v>
      </c>
      <c r="O7">
        <f>(J7-M7)^2</f>
        <v>5.8834816702086659E-10</v>
      </c>
      <c r="Q7" s="38"/>
      <c r="R7" s="40">
        <v>156.83361251254988</v>
      </c>
      <c r="S7" s="50">
        <v>-68.08552342792467</v>
      </c>
      <c r="T7" s="41">
        <v>616.00286344744848</v>
      </c>
      <c r="U7" s="50"/>
    </row>
    <row r="8" spans="2:21">
      <c r="B8" s="36">
        <v>0.95033499999999904</v>
      </c>
      <c r="C8" s="36">
        <v>0.56717915966386501</v>
      </c>
      <c r="D8" s="83">
        <v>40.094836708549899</v>
      </c>
      <c r="E8" s="83"/>
      <c r="F8" s="83">
        <f t="shared" si="4"/>
        <v>-5.0940724968506809E-2</v>
      </c>
      <c r="G8" s="87">
        <v>1</v>
      </c>
      <c r="H8" s="83">
        <f t="shared" si="0"/>
        <v>-0.56708004692184844</v>
      </c>
      <c r="I8" s="83">
        <f t="shared" si="1"/>
        <v>3.6912475656369041</v>
      </c>
      <c r="J8" s="89">
        <f t="shared" si="2"/>
        <v>-2.8217284216718763E-2</v>
      </c>
      <c r="K8" s="90">
        <f t="shared" si="5"/>
        <v>7.9621512856708587E-4</v>
      </c>
      <c r="L8">
        <f t="shared" si="3"/>
        <v>3.5750529985263679E-2</v>
      </c>
      <c r="M8" s="90">
        <f>J7</f>
        <v>-1.1119420114263256E-2</v>
      </c>
      <c r="N8" s="90">
        <f>J6</f>
        <v>-1.1143676003589786E-2</v>
      </c>
      <c r="O8">
        <f t="shared" ref="O8:O45" si="6">(J8-M8)^2</f>
        <v>2.9233695686603663E-4</v>
      </c>
      <c r="R8" s="50"/>
      <c r="S8" s="50"/>
      <c r="T8" s="50"/>
      <c r="U8" s="50"/>
    </row>
    <row r="9" spans="2:21">
      <c r="B9" s="36">
        <v>0.99682749999999998</v>
      </c>
      <c r="C9" s="36">
        <v>0.57460233193277299</v>
      </c>
      <c r="D9" s="83">
        <v>40.1045655370228</v>
      </c>
      <c r="E9" s="83"/>
      <c r="F9" s="83">
        <f t="shared" si="4"/>
        <v>-3.1775430469940312E-3</v>
      </c>
      <c r="G9" s="87">
        <v>1</v>
      </c>
      <c r="H9" s="83">
        <f t="shared" si="0"/>
        <v>-0.55407707408671969</v>
      </c>
      <c r="I9" s="83">
        <f t="shared" si="1"/>
        <v>3.6914901816227648</v>
      </c>
      <c r="J9" s="89">
        <f t="shared" si="2"/>
        <v>8.9830980366665258E-3</v>
      </c>
      <c r="K9" s="90">
        <f t="shared" si="5"/>
        <v>8.0696050336361992E-5</v>
      </c>
      <c r="L9">
        <f t="shared" si="3"/>
        <v>1.9969907630324461E-2</v>
      </c>
      <c r="M9" s="90">
        <f t="shared" ref="M9:M45" si="7">J8</f>
        <v>-2.8217284216718763E-2</v>
      </c>
      <c r="N9" s="90">
        <f t="shared" ref="N9:N45" si="8">J7</f>
        <v>-1.1119420114263256E-2</v>
      </c>
      <c r="O9">
        <f t="shared" si="6"/>
        <v>1.3838684397979831E-3</v>
      </c>
      <c r="R9" s="40">
        <f t="array" ref="R9:T11">MINVERSE(R5:T7)</f>
        <v>65.121185312270171</v>
      </c>
      <c r="S9" s="50">
        <v>29.805793043015441</v>
      </c>
      <c r="T9" s="41">
        <v>-13.285405326370856</v>
      </c>
    </row>
    <row r="10" spans="2:21" ht="17.25">
      <c r="B10" s="84">
        <v>1.0021249999999999</v>
      </c>
      <c r="C10" s="36">
        <v>0.57544815126050397</v>
      </c>
      <c r="D10" s="83">
        <v>38.250491419364501</v>
      </c>
      <c r="E10" s="83"/>
      <c r="F10" s="83">
        <f t="shared" si="4"/>
        <v>2.1227453809785743E-3</v>
      </c>
      <c r="G10" s="87">
        <v>1</v>
      </c>
      <c r="H10" s="83">
        <f t="shared" si="0"/>
        <v>-0.55260614825764609</v>
      </c>
      <c r="I10" s="83">
        <f t="shared" si="1"/>
        <v>3.6441564077551005</v>
      </c>
      <c r="J10" s="89">
        <f t="shared" si="2"/>
        <v>2.4488540966401851E-2</v>
      </c>
      <c r="K10" s="90">
        <f t="shared" si="5"/>
        <v>5.9968863866314171E-4</v>
      </c>
      <c r="L10">
        <f t="shared" si="3"/>
        <v>1.8499980979295956E-2</v>
      </c>
      <c r="M10" s="90">
        <f t="shared" si="7"/>
        <v>8.9830980366665258E-3</v>
      </c>
      <c r="N10" s="90">
        <f t="shared" si="8"/>
        <v>-2.8217284216718763E-2</v>
      </c>
      <c r="O10">
        <f t="shared" si="6"/>
        <v>2.4041876044727918E-4</v>
      </c>
      <c r="Q10" s="38" t="s">
        <v>94</v>
      </c>
      <c r="R10" s="40">
        <v>29.805793043015278</v>
      </c>
      <c r="S10" s="50">
        <v>17.451667050821186</v>
      </c>
      <c r="T10" s="41">
        <v>-5.6596235468472091</v>
      </c>
    </row>
    <row r="11" spans="2:21">
      <c r="B11" s="84">
        <v>1.0091812499999999</v>
      </c>
      <c r="C11" s="36">
        <v>0.582634779411764</v>
      </c>
      <c r="D11" s="83">
        <v>44.726822140244998</v>
      </c>
      <c r="E11" s="83"/>
      <c r="F11" s="83">
        <f t="shared" si="4"/>
        <v>9.1393585396397428E-3</v>
      </c>
      <c r="G11" s="87">
        <v>1</v>
      </c>
      <c r="H11" s="83">
        <f t="shared" si="0"/>
        <v>-0.54019473934232665</v>
      </c>
      <c r="I11" s="83">
        <f t="shared" si="1"/>
        <v>3.8005733695429802</v>
      </c>
      <c r="J11" s="89">
        <f t="shared" si="2"/>
        <v>-1.6171567418071242E-2</v>
      </c>
      <c r="K11" s="90">
        <f t="shared" si="5"/>
        <v>2.6151959275722339E-4</v>
      </c>
      <c r="L11">
        <f t="shared" si="3"/>
        <v>1.6640489681764022E-2</v>
      </c>
      <c r="M11" s="90">
        <f t="shared" si="7"/>
        <v>2.4488540966401851E-2</v>
      </c>
      <c r="N11" s="90">
        <f t="shared" si="8"/>
        <v>8.9830980366665258E-3</v>
      </c>
      <c r="O11">
        <f t="shared" si="6"/>
        <v>1.653244413837099E-3</v>
      </c>
      <c r="R11" s="40">
        <v>-13.285405326370876</v>
      </c>
      <c r="S11" s="50">
        <v>-5.6596235468472527</v>
      </c>
      <c r="T11" s="41">
        <v>2.7585256177645645</v>
      </c>
      <c r="U11" s="50"/>
    </row>
    <row r="12" spans="2:21">
      <c r="B12" s="84">
        <v>1.0826962499999999</v>
      </c>
      <c r="C12" s="36">
        <v>0.611585960743801</v>
      </c>
      <c r="D12" s="83">
        <v>47.874444571772003</v>
      </c>
      <c r="E12" s="83"/>
      <c r="F12" s="83">
        <f t="shared" si="4"/>
        <v>7.9454457765403358E-2</v>
      </c>
      <c r="G12" s="87">
        <v>1</v>
      </c>
      <c r="H12" s="83">
        <f t="shared" si="0"/>
        <v>-0.49169976015505318</v>
      </c>
      <c r="I12" s="83">
        <f t="shared" si="1"/>
        <v>3.8685818457995054</v>
      </c>
      <c r="J12" s="89">
        <f t="shared" si="2"/>
        <v>-1.4028714123202057E-3</v>
      </c>
      <c r="K12" s="90">
        <f t="shared" si="5"/>
        <v>1.9680481995052887E-6</v>
      </c>
      <c r="L12">
        <f t="shared" si="3"/>
        <v>3.4436854261692797E-3</v>
      </c>
      <c r="M12" s="90">
        <f t="shared" si="7"/>
        <v>-1.6171567418071242E-2</v>
      </c>
      <c r="N12" s="90">
        <f t="shared" si="8"/>
        <v>2.4488540966401851E-2</v>
      </c>
      <c r="O12">
        <f t="shared" si="6"/>
        <v>2.1811438171028661E-4</v>
      </c>
      <c r="U12" s="50"/>
    </row>
    <row r="13" spans="2:21">
      <c r="B13" s="84">
        <v>1.1013725000000001</v>
      </c>
      <c r="C13" s="36">
        <v>0.61482729338842901</v>
      </c>
      <c r="D13" s="83">
        <v>52.158626805388103</v>
      </c>
      <c r="E13" s="83"/>
      <c r="F13" s="83">
        <f t="shared" si="4"/>
        <v>9.6557129312270326E-2</v>
      </c>
      <c r="G13" s="87">
        <v>1</v>
      </c>
      <c r="H13" s="83">
        <f t="shared" si="0"/>
        <v>-0.48641387437264655</v>
      </c>
      <c r="I13" s="83">
        <f t="shared" si="1"/>
        <v>3.9542895906880298</v>
      </c>
      <c r="J13" s="89">
        <f t="shared" si="2"/>
        <v>-9.2005927297256207E-3</v>
      </c>
      <c r="K13" s="90">
        <f t="shared" si="5"/>
        <v>8.4650906578279946E-5</v>
      </c>
      <c r="L13">
        <f t="shared" si="3"/>
        <v>1.7289172927279657E-3</v>
      </c>
      <c r="M13" s="90">
        <f t="shared" si="7"/>
        <v>-1.4028714123202057E-3</v>
      </c>
      <c r="N13" s="90">
        <f t="shared" si="8"/>
        <v>-1.6171567418071242E-2</v>
      </c>
      <c r="O13">
        <f t="shared" si="6"/>
        <v>6.0804457743918842E-5</v>
      </c>
      <c r="R13" s="42">
        <f t="array" ref="R13:R15">MMULT(TRANSPOSE(G6:I45),F6:F45)</f>
        <v>5.5254952218726539</v>
      </c>
    </row>
    <row r="14" spans="2:21">
      <c r="B14" s="84">
        <v>1.14554625</v>
      </c>
      <c r="C14" s="36">
        <v>0.62249381198347098</v>
      </c>
      <c r="D14" s="83">
        <v>51.324539209752501</v>
      </c>
      <c r="E14" s="83"/>
      <c r="F14" s="83">
        <f t="shared" si="4"/>
        <v>0.13588159747827863</v>
      </c>
      <c r="G14" s="87">
        <v>1</v>
      </c>
      <c r="H14" s="83">
        <f t="shared" si="0"/>
        <v>-0.47402159128148397</v>
      </c>
      <c r="I14" s="83">
        <f t="shared" si="1"/>
        <v>3.9381689849738533</v>
      </c>
      <c r="J14" s="89">
        <f t="shared" si="2"/>
        <v>2.3993114610334265E-2</v>
      </c>
      <c r="K14" s="90">
        <f t="shared" si="5"/>
        <v>5.7566954870463555E-4</v>
      </c>
      <c r="L14">
        <f t="shared" si="3"/>
        <v>5.0885572523014271E-6</v>
      </c>
      <c r="M14" s="90">
        <f t="shared" si="7"/>
        <v>-9.2005927297256207E-3</v>
      </c>
      <c r="N14" s="90">
        <f t="shared" si="8"/>
        <v>-1.4028714123202057E-3</v>
      </c>
      <c r="O14">
        <f t="shared" si="6"/>
        <v>1.1018222069775455E-3</v>
      </c>
      <c r="Q14" s="38" t="s">
        <v>95</v>
      </c>
      <c r="R14" s="42">
        <v>-2.1882412984306083</v>
      </c>
    </row>
    <row r="15" spans="2:21">
      <c r="B15" s="84">
        <v>1.1592487499999999</v>
      </c>
      <c r="C15" s="36">
        <v>0.62487193181818101</v>
      </c>
      <c r="D15" s="83">
        <v>48.778462572034002</v>
      </c>
      <c r="E15" s="83"/>
      <c r="F15" s="83">
        <f t="shared" si="4"/>
        <v>0.14777216600547888</v>
      </c>
      <c r="G15" s="87">
        <v>1</v>
      </c>
      <c r="H15" s="83">
        <f t="shared" si="0"/>
        <v>-0.47020855933338201</v>
      </c>
      <c r="I15" s="83">
        <f t="shared" si="1"/>
        <v>3.8872888747026058</v>
      </c>
      <c r="J15" s="89">
        <f t="shared" si="2"/>
        <v>4.5050394247344916E-2</v>
      </c>
      <c r="K15" s="90">
        <f t="shared" si="5"/>
        <v>2.0295380218412081E-3</v>
      </c>
      <c r="L15">
        <f t="shared" si="3"/>
        <v>9.2829090834454963E-5</v>
      </c>
      <c r="M15" s="90">
        <f t="shared" si="7"/>
        <v>2.3993114610334265E-2</v>
      </c>
      <c r="N15" s="90">
        <f t="shared" si="8"/>
        <v>-9.2005927297256207E-3</v>
      </c>
      <c r="O15">
        <f t="shared" si="6"/>
        <v>4.4340902571126338E-4</v>
      </c>
      <c r="R15" s="42">
        <v>22.209156020405484</v>
      </c>
    </row>
    <row r="16" spans="2:21">
      <c r="B16" s="84">
        <v>1.115435</v>
      </c>
      <c r="C16" s="36">
        <v>0.617267892561983</v>
      </c>
      <c r="D16" s="83">
        <v>46.813943040099403</v>
      </c>
      <c r="E16" s="83"/>
      <c r="F16" s="83">
        <f t="shared" si="4"/>
        <v>0.10924446335854228</v>
      </c>
      <c r="G16" s="87">
        <v>1</v>
      </c>
      <c r="H16" s="83">
        <f t="shared" si="0"/>
        <v>-0.48245216363225152</v>
      </c>
      <c r="I16" s="83">
        <f t="shared" si="1"/>
        <v>3.8461810867590578</v>
      </c>
      <c r="J16" s="89">
        <f t="shared" si="2"/>
        <v>2.6308455180207413E-2</v>
      </c>
      <c r="K16" s="90">
        <f t="shared" si="5"/>
        <v>6.9213481396898223E-4</v>
      </c>
      <c r="L16">
        <f t="shared" si="3"/>
        <v>8.3480066364846302E-4</v>
      </c>
      <c r="M16" s="90">
        <f t="shared" si="7"/>
        <v>4.5050394247344916E-2</v>
      </c>
      <c r="N16" s="90">
        <f t="shared" si="8"/>
        <v>2.3993114610334265E-2</v>
      </c>
      <c r="O16">
        <f t="shared" si="6"/>
        <v>3.5126027999629497E-4</v>
      </c>
    </row>
    <row r="17" spans="2:18">
      <c r="B17" s="84">
        <v>1.0811375000000001</v>
      </c>
      <c r="C17" s="36">
        <v>0.61131543388429699</v>
      </c>
      <c r="D17" s="83">
        <v>47.999622190009802</v>
      </c>
      <c r="E17" s="83"/>
      <c r="F17" s="83">
        <f t="shared" si="4"/>
        <v>7.8013727607991731E-2</v>
      </c>
      <c r="G17" s="87">
        <v>1</v>
      </c>
      <c r="H17" s="83">
        <f t="shared" si="0"/>
        <v>-0.49214219462295927</v>
      </c>
      <c r="I17" s="83">
        <f t="shared" si="1"/>
        <v>3.8711931398354515</v>
      </c>
      <c r="J17" s="89">
        <f t="shared" si="2"/>
        <v>-3.114731940497828E-3</v>
      </c>
      <c r="K17" s="90">
        <f t="shared" si="5"/>
        <v>9.7015550611573651E-6</v>
      </c>
      <c r="L17">
        <f t="shared" si="3"/>
        <v>3.6148536427082338E-3</v>
      </c>
      <c r="M17" s="90">
        <f t="shared" si="7"/>
        <v>2.6308455180207413E-2</v>
      </c>
      <c r="N17" s="90">
        <f t="shared" si="8"/>
        <v>4.5050394247344916E-2</v>
      </c>
      <c r="O17">
        <f t="shared" si="6"/>
        <v>8.6572394034003478E-4</v>
      </c>
      <c r="R17" s="42">
        <f t="array" ref="R17:R19">MMULT(R9:T11,R13:R15)</f>
        <v>-0.45310867126602261</v>
      </c>
    </row>
    <row r="18" spans="2:18">
      <c r="B18" s="85">
        <v>1.0933333333333299</v>
      </c>
      <c r="C18" s="36">
        <v>0.62593206611570196</v>
      </c>
      <c r="D18" s="83">
        <v>52.076471260247601</v>
      </c>
      <c r="E18" s="83"/>
      <c r="F18" s="83">
        <f t="shared" si="4"/>
        <v>8.923113372793956E-2</v>
      </c>
      <c r="G18" s="87">
        <v>1</v>
      </c>
      <c r="H18" s="83">
        <f t="shared" si="0"/>
        <v>-0.46851343435276865</v>
      </c>
      <c r="I18" s="83">
        <f t="shared" si="1"/>
        <v>3.9527132394651239</v>
      </c>
      <c r="J18" s="89">
        <f t="shared" si="2"/>
        <v>-3.0607954812909677E-2</v>
      </c>
      <c r="K18" s="90">
        <f t="shared" si="5"/>
        <v>9.368468978291207E-4</v>
      </c>
      <c r="L18">
        <f t="shared" si="3"/>
        <v>2.3918209779088956E-3</v>
      </c>
      <c r="M18" s="90">
        <f t="shared" si="7"/>
        <v>-3.114731940497828E-3</v>
      </c>
      <c r="N18" s="90">
        <f t="shared" si="8"/>
        <v>2.6308455180207413E-2</v>
      </c>
      <c r="O18">
        <f t="shared" si="6"/>
        <v>7.5587730391211006E-4</v>
      </c>
      <c r="Q18" s="39" t="s">
        <v>96</v>
      </c>
      <c r="R18" s="42">
        <v>0.80784610754815844</v>
      </c>
    </row>
    <row r="19" spans="2:18">
      <c r="B19" s="84">
        <v>1.13305875</v>
      </c>
      <c r="C19" s="36">
        <v>0.64532655991735499</v>
      </c>
      <c r="D19" s="83">
        <v>50.357252119366002</v>
      </c>
      <c r="E19" s="83"/>
      <c r="F19" s="83">
        <f t="shared" si="4"/>
        <v>0.12492083418784322</v>
      </c>
      <c r="G19" s="87">
        <v>1</v>
      </c>
      <c r="H19" s="83">
        <f t="shared" si="0"/>
        <v>-0.43799879586464197</v>
      </c>
      <c r="I19" s="83">
        <f t="shared" si="1"/>
        <v>3.9191426429409315</v>
      </c>
      <c r="J19" s="89">
        <f t="shared" si="2"/>
        <v>-1.1488804092302796E-2</v>
      </c>
      <c r="K19" s="90">
        <f t="shared" si="5"/>
        <v>1.3199261947131346E-4</v>
      </c>
      <c r="L19">
        <f t="shared" si="3"/>
        <v>1.7467709765888576E-4</v>
      </c>
      <c r="M19" s="90">
        <f t="shared" si="7"/>
        <v>-3.0607954812909677E-2</v>
      </c>
      <c r="N19" s="90">
        <f t="shared" si="8"/>
        <v>-3.114731940497828E-3</v>
      </c>
      <c r="O19">
        <f t="shared" si="6"/>
        <v>3.6554192427728263E-4</v>
      </c>
      <c r="R19" s="42">
        <v>0.2407041584963352</v>
      </c>
    </row>
    <row r="20" spans="2:18">
      <c r="B20" s="84">
        <v>1.1326037499999999</v>
      </c>
      <c r="C20" s="36">
        <v>0.64524759297520595</v>
      </c>
      <c r="D20" s="83">
        <v>51.648158788387697</v>
      </c>
      <c r="E20" s="83"/>
      <c r="F20" s="83">
        <f t="shared" si="4"/>
        <v>0.12451918565800538</v>
      </c>
      <c r="G20" s="87">
        <v>1</v>
      </c>
      <c r="H20" s="83">
        <f t="shared" si="0"/>
        <v>-0.43812117076587581</v>
      </c>
      <c r="I20" s="83">
        <f t="shared" si="1"/>
        <v>3.9444545470771537</v>
      </c>
      <c r="J20" s="89">
        <f t="shared" si="2"/>
        <v>-1.7884273119566529E-2</v>
      </c>
      <c r="K20" s="90">
        <f t="shared" si="5"/>
        <v>3.1984722501524992E-4</v>
      </c>
      <c r="L20">
        <f t="shared" si="3"/>
        <v>1.8545523202963721E-4</v>
      </c>
      <c r="M20" s="90">
        <f t="shared" si="7"/>
        <v>-1.1488804092302796E-2</v>
      </c>
      <c r="N20" s="90">
        <f t="shared" si="8"/>
        <v>-3.0607954812909677E-2</v>
      </c>
      <c r="O20">
        <f t="shared" si="6"/>
        <v>4.0902024078689728E-5</v>
      </c>
    </row>
    <row r="21" spans="2:18">
      <c r="B21" s="84">
        <v>1.164115</v>
      </c>
      <c r="C21" s="36">
        <v>0.65071648760330503</v>
      </c>
      <c r="D21" s="83">
        <v>57.325866524653399</v>
      </c>
      <c r="E21" s="83"/>
      <c r="F21" s="83">
        <f t="shared" si="4"/>
        <v>0.15196114167997823</v>
      </c>
      <c r="G21" s="87">
        <v>1</v>
      </c>
      <c r="H21" s="83">
        <f t="shared" si="0"/>
        <v>-0.42968123454601348</v>
      </c>
      <c r="I21" s="83">
        <f t="shared" si="1"/>
        <v>4.0487519446289095</v>
      </c>
      <c r="J21" s="89">
        <f t="shared" si="2"/>
        <v>-2.2365304031817246E-2</v>
      </c>
      <c r="K21" s="90">
        <f t="shared" si="5"/>
        <v>5.0020682443562079E-4</v>
      </c>
      <c r="L21">
        <f t="shared" si="3"/>
        <v>1.9109637186671724E-4</v>
      </c>
      <c r="M21" s="90">
        <f t="shared" si="7"/>
        <v>-1.7884273119566529E-2</v>
      </c>
      <c r="N21" s="90">
        <f t="shared" si="8"/>
        <v>-1.1488804092302796E-2</v>
      </c>
      <c r="O21">
        <f t="shared" si="6"/>
        <v>2.0079638036546487E-5</v>
      </c>
    </row>
    <row r="22" spans="2:18">
      <c r="B22" s="84">
        <v>1.2125250000000001</v>
      </c>
      <c r="C22" s="36">
        <v>0.65911822314049495</v>
      </c>
      <c r="D22" s="83">
        <v>54.876837487641097</v>
      </c>
      <c r="E22" s="83"/>
      <c r="F22" s="83">
        <f t="shared" si="4"/>
        <v>0.19270496217364277</v>
      </c>
      <c r="G22" s="87">
        <v>1</v>
      </c>
      <c r="H22" s="83">
        <f t="shared" si="0"/>
        <v>-0.41685236278421517</v>
      </c>
      <c r="I22" s="83">
        <f t="shared" si="1"/>
        <v>4.0050913558031294</v>
      </c>
      <c r="J22" s="89">
        <f t="shared" si="2"/>
        <v>1.8524047637607954E-2</v>
      </c>
      <c r="K22" s="90">
        <f t="shared" si="5"/>
        <v>3.4314034088036882E-4</v>
      </c>
      <c r="L22">
        <f t="shared" si="3"/>
        <v>2.9776209646003651E-3</v>
      </c>
      <c r="M22" s="90">
        <f t="shared" si="7"/>
        <v>-2.2365304031817246E-2</v>
      </c>
      <c r="N22" s="90">
        <f t="shared" si="8"/>
        <v>-1.7884273119566529E-2</v>
      </c>
      <c r="O22">
        <f t="shared" si="6"/>
        <v>1.6719390799459254E-3</v>
      </c>
      <c r="Q22" s="38" t="s">
        <v>199</v>
      </c>
      <c r="R22" s="88">
        <f>AVERAGE(F6:F45)</f>
        <v>0.13813738054681635</v>
      </c>
    </row>
    <row r="23" spans="2:18" ht="17.25">
      <c r="B23" s="84">
        <v>1.2016962499999999</v>
      </c>
      <c r="C23" s="36">
        <v>0.65723885330578502</v>
      </c>
      <c r="D23" s="83">
        <v>54.125735371307101</v>
      </c>
      <c r="E23" s="83"/>
      <c r="F23" s="83">
        <f t="shared" si="4"/>
        <v>0.18373410035106844</v>
      </c>
      <c r="G23" s="87">
        <v>1</v>
      </c>
      <c r="H23" s="83">
        <f t="shared" si="0"/>
        <v>-0.41970777511157248</v>
      </c>
      <c r="I23" s="83">
        <f t="shared" si="1"/>
        <v>3.9913097727672096</v>
      </c>
      <c r="J23" s="89">
        <f t="shared" si="2"/>
        <v>1.5177203896542646E-2</v>
      </c>
      <c r="K23" s="90">
        <f t="shared" si="5"/>
        <v>2.3034751811722926E-4</v>
      </c>
      <c r="L23">
        <f t="shared" si="3"/>
        <v>2.0790608569074749E-3</v>
      </c>
      <c r="M23" s="90">
        <f t="shared" si="7"/>
        <v>1.8524047637607954E-2</v>
      </c>
      <c r="N23" s="90">
        <f t="shared" si="8"/>
        <v>-2.2365304031817246E-2</v>
      </c>
      <c r="O23">
        <f t="shared" si="6"/>
        <v>1.1201363027108029E-5</v>
      </c>
      <c r="Q23" s="38" t="s">
        <v>156</v>
      </c>
      <c r="R23">
        <f>1-K46/L46</f>
        <v>0.95731673862673483</v>
      </c>
    </row>
    <row r="24" spans="2:18">
      <c r="B24" s="84">
        <v>1.2196640000000001</v>
      </c>
      <c r="C24" s="36">
        <v>0.66035722314049605</v>
      </c>
      <c r="D24" s="83">
        <v>58.0741258383038</v>
      </c>
      <c r="E24" s="83"/>
      <c r="F24" s="83">
        <f t="shared" si="4"/>
        <v>0.198575410976846</v>
      </c>
      <c r="G24" s="87">
        <v>1</v>
      </c>
      <c r="H24" s="83">
        <f t="shared" si="0"/>
        <v>-0.41497434320052129</v>
      </c>
      <c r="I24" s="83">
        <f t="shared" si="1"/>
        <v>4.0617202262539704</v>
      </c>
      <c r="J24" s="89">
        <f t="shared" si="2"/>
        <v>9.2465410217571486E-3</v>
      </c>
      <c r="K24" s="90">
        <f t="shared" si="5"/>
        <v>8.5498520867037734E-5</v>
      </c>
      <c r="L24">
        <f t="shared" si="3"/>
        <v>3.6527555222611906E-3</v>
      </c>
      <c r="M24" s="90">
        <f t="shared" si="7"/>
        <v>1.5177203896542646E-2</v>
      </c>
      <c r="N24" s="90">
        <f t="shared" si="8"/>
        <v>1.8524047637607954E-2</v>
      </c>
      <c r="O24">
        <f t="shared" si="6"/>
        <v>3.5172762134358981E-5</v>
      </c>
      <c r="Q24" s="39" t="s">
        <v>114</v>
      </c>
      <c r="R24">
        <f>(K46/(40-3))^0.5</f>
        <v>1.9363450604627734E-2</v>
      </c>
    </row>
    <row r="25" spans="2:18">
      <c r="B25" s="84">
        <v>1.2356462500000001</v>
      </c>
      <c r="C25" s="36">
        <v>0.66313100206611497</v>
      </c>
      <c r="D25" s="83">
        <v>57.066110294947599</v>
      </c>
      <c r="E25" s="83"/>
      <c r="F25" s="83">
        <f t="shared" si="4"/>
        <v>0.21159411256926999</v>
      </c>
      <c r="G25" s="87">
        <v>1</v>
      </c>
      <c r="H25" s="83">
        <f t="shared" si="0"/>
        <v>-0.41078271847126591</v>
      </c>
      <c r="I25" s="83">
        <f t="shared" si="1"/>
        <v>4.0442104254875826</v>
      </c>
      <c r="J25" s="89">
        <f t="shared" si="2"/>
        <v>2.3093736751261473E-2</v>
      </c>
      <c r="K25" s="90">
        <f t="shared" si="5"/>
        <v>5.3332067713656481E-4</v>
      </c>
      <c r="L25">
        <f t="shared" si="3"/>
        <v>5.3958914794185672E-3</v>
      </c>
      <c r="M25" s="90">
        <f t="shared" si="7"/>
        <v>9.2465410217571486E-3</v>
      </c>
      <c r="N25" s="90">
        <f t="shared" si="8"/>
        <v>1.5177203896542646E-2</v>
      </c>
      <c r="O25">
        <f t="shared" si="6"/>
        <v>1.9174482957120281E-4</v>
      </c>
      <c r="Q25" s="38" t="s">
        <v>204</v>
      </c>
      <c r="R25">
        <f>O46/K46</f>
        <v>1.2757781055857189</v>
      </c>
    </row>
    <row r="26" spans="2:18">
      <c r="B26" s="84">
        <v>1.1947049999999999</v>
      </c>
      <c r="C26" s="36">
        <v>0.65602549586776804</v>
      </c>
      <c r="D26" s="83">
        <v>48.485835075706603</v>
      </c>
      <c r="E26" s="83"/>
      <c r="F26" s="83">
        <f t="shared" si="4"/>
        <v>0.17789929298336721</v>
      </c>
      <c r="G26" s="87">
        <v>1</v>
      </c>
      <c r="H26" s="83">
        <f t="shared" si="0"/>
        <v>-0.42155562514121248</v>
      </c>
      <c r="I26" s="83">
        <f t="shared" si="1"/>
        <v>3.8812716949908146</v>
      </c>
      <c r="J26" s="89">
        <f t="shared" si="2"/>
        <v>3.732179789634027E-2</v>
      </c>
      <c r="K26" s="90">
        <f t="shared" si="5"/>
        <v>1.3929165982152689E-3</v>
      </c>
      <c r="L26">
        <f t="shared" si="3"/>
        <v>1.5810096806119381E-3</v>
      </c>
      <c r="M26" s="90">
        <f t="shared" si="7"/>
        <v>2.3093736751261473E-2</v>
      </c>
      <c r="N26" s="90">
        <f t="shared" si="8"/>
        <v>9.2465410217571486E-3</v>
      </c>
      <c r="O26">
        <f t="shared" si="6"/>
        <v>2.0243772394810096E-4</v>
      </c>
    </row>
    <row r="27" spans="2:18" ht="21">
      <c r="B27" s="84">
        <v>1.1186259999999999</v>
      </c>
      <c r="C27" s="36">
        <v>0.64282170247933801</v>
      </c>
      <c r="D27" s="83">
        <v>45.828512575541097</v>
      </c>
      <c r="E27" s="83"/>
      <c r="F27" s="83">
        <f t="shared" si="4"/>
        <v>0.11210114647511736</v>
      </c>
      <c r="G27" s="87">
        <v>1</v>
      </c>
      <c r="H27" s="83">
        <f t="shared" si="0"/>
        <v>-0.44188788327530998</v>
      </c>
      <c r="I27" s="83">
        <f t="shared" si="1"/>
        <v>3.8249064427366819</v>
      </c>
      <c r="J27" s="89">
        <f t="shared" si="2"/>
        <v>1.5163375916502631E-3</v>
      </c>
      <c r="K27" s="90">
        <f t="shared" si="5"/>
        <v>2.2992796918517199E-6</v>
      </c>
      <c r="L27">
        <f t="shared" si="3"/>
        <v>6.7788548463629911E-4</v>
      </c>
      <c r="M27" s="90">
        <f t="shared" si="7"/>
        <v>3.732179789634027E-2</v>
      </c>
      <c r="N27" s="90">
        <f t="shared" si="8"/>
        <v>2.3093736751261473E-2</v>
      </c>
      <c r="O27">
        <f t="shared" si="6"/>
        <v>1.2820309876307317E-3</v>
      </c>
      <c r="Q27">
        <f>SUMXMY2(J7:J45,J6:J44)</f>
        <v>1.769874095161127E-2</v>
      </c>
      <c r="R27" s="91" t="s">
        <v>205</v>
      </c>
    </row>
    <row r="28" spans="2:18" ht="21">
      <c r="B28" s="84">
        <v>1.1080725</v>
      </c>
      <c r="C28" s="36">
        <v>0.64099010330578499</v>
      </c>
      <c r="D28" s="83">
        <v>45.732574377817699</v>
      </c>
      <c r="E28" s="83"/>
      <c r="F28" s="83">
        <f t="shared" si="4"/>
        <v>0.10262201939742917</v>
      </c>
      <c r="G28" s="87">
        <v>1</v>
      </c>
      <c r="H28" s="83">
        <f t="shared" si="0"/>
        <v>-0.44474126164121053</v>
      </c>
      <c r="I28" s="83">
        <f t="shared" si="1"/>
        <v>3.8228108312487503</v>
      </c>
      <c r="J28" s="89">
        <f t="shared" si="2"/>
        <v>-5.1532764800452657E-3</v>
      </c>
      <c r="K28" s="90">
        <f t="shared" si="5"/>
        <v>2.6556258479787725E-5</v>
      </c>
      <c r="L28">
        <f t="shared" si="3"/>
        <v>1.2613408775714002E-3</v>
      </c>
      <c r="M28" s="90">
        <f t="shared" si="7"/>
        <v>1.5163375916502631E-3</v>
      </c>
      <c r="N28" s="90">
        <f t="shared" si="8"/>
        <v>3.732179789634027E-2</v>
      </c>
      <c r="O28">
        <f t="shared" si="6"/>
        <v>4.4483751865359008E-5</v>
      </c>
      <c r="Q28">
        <f>SUMSQ(J6:J45)</f>
        <v>1.3872899114760752E-2</v>
      </c>
      <c r="R28" s="91" t="s">
        <v>206</v>
      </c>
    </row>
    <row r="29" spans="2:18">
      <c r="B29" s="85">
        <v>1.18720166666666</v>
      </c>
      <c r="C29" s="36">
        <v>0.65472326446280904</v>
      </c>
      <c r="D29" s="83">
        <v>47.182367314536897</v>
      </c>
      <c r="E29" s="83"/>
      <c r="F29" s="83">
        <f t="shared" si="4"/>
        <v>0.17159899729342012</v>
      </c>
      <c r="G29" s="87">
        <v>1</v>
      </c>
      <c r="H29" s="83">
        <f t="shared" si="0"/>
        <v>-0.4235426296272361</v>
      </c>
      <c r="I29" s="83">
        <f t="shared" si="1"/>
        <v>3.8540202489508606</v>
      </c>
      <c r="J29" s="89">
        <f t="shared" si="2"/>
        <v>3.9186232432963597E-2</v>
      </c>
      <c r="K29" s="90">
        <f t="shared" si="5"/>
        <v>1.5355608122902481E-3</v>
      </c>
      <c r="L29">
        <f t="shared" si="3"/>
        <v>1.1196797952965944E-3</v>
      </c>
      <c r="M29" s="90">
        <f t="shared" si="7"/>
        <v>-5.1532764800452657E-3</v>
      </c>
      <c r="N29" s="90">
        <f t="shared" si="8"/>
        <v>1.5163375916502631E-3</v>
      </c>
      <c r="O29">
        <f t="shared" si="6"/>
        <v>1.9659920506467925E-3</v>
      </c>
    </row>
    <row r="30" spans="2:18">
      <c r="B30" s="84">
        <v>1.1150774999999999</v>
      </c>
      <c r="C30" s="36">
        <v>0.66408084710743698</v>
      </c>
      <c r="D30" s="83">
        <v>41.296289847289501</v>
      </c>
      <c r="E30" s="83"/>
      <c r="F30" s="83">
        <f t="shared" si="4"/>
        <v>0.10892390922305885</v>
      </c>
      <c r="G30" s="87">
        <v>1</v>
      </c>
      <c r="H30" s="83">
        <f t="shared" si="0"/>
        <v>-0.40935137922564618</v>
      </c>
      <c r="I30" s="83">
        <f t="shared" si="1"/>
        <v>3.7207726617255878</v>
      </c>
      <c r="J30" s="89">
        <f t="shared" si="2"/>
        <v>-2.8799536808370441E-3</v>
      </c>
      <c r="K30" s="90">
        <f t="shared" si="5"/>
        <v>8.2941332037668394E-6</v>
      </c>
      <c r="L30">
        <f t="shared" si="3"/>
        <v>8.5342690678400163E-4</v>
      </c>
      <c r="M30" s="90">
        <f t="shared" si="7"/>
        <v>3.9186232432963597E-2</v>
      </c>
      <c r="N30" s="90">
        <f t="shared" si="8"/>
        <v>-5.1532764800452657E-3</v>
      </c>
      <c r="O30">
        <f t="shared" si="6"/>
        <v>1.7695640141609139E-3</v>
      </c>
    </row>
    <row r="31" spans="2:18">
      <c r="B31" s="84">
        <v>1.1089087500000001</v>
      </c>
      <c r="C31" s="36">
        <v>0.66613523760330495</v>
      </c>
      <c r="D31" s="83">
        <v>43.921849312362397</v>
      </c>
      <c r="E31" s="83"/>
      <c r="F31" s="83">
        <f t="shared" si="4"/>
        <v>0.10337642364839976</v>
      </c>
      <c r="G31" s="87">
        <v>1</v>
      </c>
      <c r="H31" s="83">
        <f t="shared" si="0"/>
        <v>-0.40626256959110862</v>
      </c>
      <c r="I31" s="83">
        <f t="shared" si="1"/>
        <v>3.7824119026983052</v>
      </c>
      <c r="J31" s="89">
        <f t="shared" si="2"/>
        <v>-2.5759543724405365E-2</v>
      </c>
      <c r="K31" s="90">
        <f t="shared" si="5"/>
        <v>6.6355409288955185E-4</v>
      </c>
      <c r="L31">
        <f t="shared" si="3"/>
        <v>1.2083241244935756E-3</v>
      </c>
      <c r="M31" s="90">
        <f t="shared" si="7"/>
        <v>-2.8799536808370441E-3</v>
      </c>
      <c r="N31" s="90">
        <f t="shared" si="8"/>
        <v>3.9186232432963597E-2</v>
      </c>
      <c r="O31">
        <f t="shared" si="6"/>
        <v>5.2347564056175059E-4</v>
      </c>
    </row>
    <row r="32" spans="2:18">
      <c r="B32" s="84">
        <v>1.1454212500000001</v>
      </c>
      <c r="C32" s="36">
        <v>0.67247211776859495</v>
      </c>
      <c r="D32" s="83">
        <v>46.9341378445367</v>
      </c>
      <c r="E32" s="83"/>
      <c r="F32" s="83">
        <f t="shared" si="4"/>
        <v>0.13577247327627756</v>
      </c>
      <c r="G32" s="87">
        <v>1</v>
      </c>
      <c r="H32" s="83">
        <f t="shared" si="0"/>
        <v>-0.39679462893280104</v>
      </c>
      <c r="I32" s="83">
        <f t="shared" si="1"/>
        <v>3.8487452964828526</v>
      </c>
      <c r="J32" s="89">
        <f t="shared" si="2"/>
        <v>-1.6978856834953704E-2</v>
      </c>
      <c r="K32" s="90">
        <f t="shared" si="5"/>
        <v>2.8828157942185412E-4</v>
      </c>
      <c r="L32">
        <f t="shared" si="3"/>
        <v>5.5927863982472075E-6</v>
      </c>
      <c r="M32" s="90">
        <f t="shared" si="7"/>
        <v>-2.5759543724405365E-2</v>
      </c>
      <c r="N32" s="90">
        <f t="shared" si="8"/>
        <v>-2.8799536808370441E-3</v>
      </c>
      <c r="O32">
        <f t="shared" si="6"/>
        <v>7.7100462250588288E-5</v>
      </c>
    </row>
    <row r="33" spans="2:15">
      <c r="B33" s="84">
        <v>1.1819249999999999</v>
      </c>
      <c r="C33" s="36">
        <v>0.678807479338842</v>
      </c>
      <c r="D33" s="83">
        <v>49.942446961362499</v>
      </c>
      <c r="E33" s="83"/>
      <c r="F33" s="83">
        <f t="shared" si="4"/>
        <v>0.16714446519410747</v>
      </c>
      <c r="G33" s="87">
        <v>1</v>
      </c>
      <c r="H33" s="83">
        <f t="shared" si="0"/>
        <v>-0.38741772721069739</v>
      </c>
      <c r="I33" s="83">
        <f t="shared" si="1"/>
        <v>3.9108712816761431</v>
      </c>
      <c r="J33" s="89">
        <f t="shared" si="2"/>
        <v>-8.135941460893692E-3</v>
      </c>
      <c r="K33" s="90">
        <f t="shared" si="5"/>
        <v>6.6193543455088976E-5</v>
      </c>
      <c r="L33">
        <f t="shared" si="3"/>
        <v>8.4141095973511257E-4</v>
      </c>
      <c r="M33" s="90">
        <f t="shared" si="7"/>
        <v>-1.6978856834953704E-2</v>
      </c>
      <c r="N33" s="90">
        <f t="shared" si="8"/>
        <v>-2.5759543724405365E-2</v>
      </c>
      <c r="O33">
        <f t="shared" si="6"/>
        <v>7.8197152312786919E-5</v>
      </c>
    </row>
    <row r="34" spans="2:15">
      <c r="B34" s="85">
        <v>1.2098899999999999</v>
      </c>
      <c r="C34" s="36">
        <v>0.68366090909090804</v>
      </c>
      <c r="D34" s="83">
        <v>49.819255048742498</v>
      </c>
      <c r="E34" s="83"/>
      <c r="F34" s="83">
        <f t="shared" si="4"/>
        <v>0.19052944638525871</v>
      </c>
      <c r="G34" s="87">
        <v>1</v>
      </c>
      <c r="H34" s="83">
        <f t="shared" si="0"/>
        <v>-0.3802932312258468</v>
      </c>
      <c r="I34" s="83">
        <f t="shared" si="1"/>
        <v>3.9084015568668096</v>
      </c>
      <c r="J34" s="89">
        <f t="shared" si="2"/>
        <v>1.0088016412601708E-2</v>
      </c>
      <c r="K34" s="90">
        <f t="shared" si="5"/>
        <v>1.0176807514092143E-4</v>
      </c>
      <c r="L34">
        <f t="shared" si="3"/>
        <v>2.7449285628196787E-3</v>
      </c>
      <c r="M34" s="90">
        <f t="shared" si="7"/>
        <v>-8.135941460893692E-3</v>
      </c>
      <c r="N34" s="90">
        <f t="shared" si="8"/>
        <v>-1.6978856834953704E-2</v>
      </c>
      <c r="O34">
        <f t="shared" si="6"/>
        <v>3.3211264057493497E-4</v>
      </c>
    </row>
    <row r="35" spans="2:15">
      <c r="B35" s="85">
        <v>1.2218100000000001</v>
      </c>
      <c r="C35" s="36">
        <v>0.68572966942148705</v>
      </c>
      <c r="D35" s="83">
        <v>53.285478360226698</v>
      </c>
      <c r="E35" s="83"/>
      <c r="F35" s="83">
        <f t="shared" si="4"/>
        <v>0.20033336584564038</v>
      </c>
      <c r="G35" s="87">
        <v>1</v>
      </c>
      <c r="H35" s="83">
        <f t="shared" si="0"/>
        <v>-0.37727179682011736</v>
      </c>
      <c r="I35" s="83">
        <f t="shared" si="1"/>
        <v>3.9756638430226334</v>
      </c>
      <c r="J35" s="89">
        <f t="shared" si="2"/>
        <v>1.2607698614253149E-3</v>
      </c>
      <c r="K35" s="90">
        <f t="shared" si="5"/>
        <v>1.5895406434784077E-6</v>
      </c>
      <c r="L35">
        <f t="shared" si="3"/>
        <v>3.8683405872915349E-3</v>
      </c>
      <c r="M35" s="90">
        <f t="shared" si="7"/>
        <v>1.0088016412601708E-2</v>
      </c>
      <c r="N35" s="90">
        <f t="shared" si="8"/>
        <v>-8.135941460893692E-3</v>
      </c>
      <c r="O35">
        <f t="shared" si="6"/>
        <v>7.7920281675255521E-5</v>
      </c>
    </row>
    <row r="36" spans="2:15">
      <c r="B36" s="85">
        <v>1.2265299999999999</v>
      </c>
      <c r="C36" s="36">
        <v>0.68654884297520602</v>
      </c>
      <c r="D36" s="83">
        <v>56.398044397977102</v>
      </c>
      <c r="E36" s="83"/>
      <c r="F36" s="83">
        <f t="shared" si="4"/>
        <v>0.20418904426235737</v>
      </c>
      <c r="G36" s="87">
        <v>1</v>
      </c>
      <c r="H36" s="83">
        <f t="shared" si="0"/>
        <v>-0.37607790848969336</v>
      </c>
      <c r="I36" s="83">
        <f t="shared" si="1"/>
        <v>4.0324344841081308</v>
      </c>
      <c r="J36" s="89">
        <f t="shared" si="2"/>
        <v>-9.5129591522198353E-3</v>
      </c>
      <c r="K36" s="90">
        <f t="shared" si="5"/>
        <v>9.0496391831803124E-5</v>
      </c>
      <c r="L36">
        <f t="shared" si="3"/>
        <v>4.3628222795909187E-3</v>
      </c>
      <c r="M36" s="90">
        <f t="shared" si="7"/>
        <v>1.2607698614253149E-3</v>
      </c>
      <c r="N36" s="90">
        <f t="shared" si="8"/>
        <v>1.0088016412601708E-2</v>
      </c>
      <c r="O36">
        <f t="shared" si="6"/>
        <v>1.160732368594593E-4</v>
      </c>
    </row>
    <row r="37" spans="2:15">
      <c r="B37" s="84">
        <v>1.2124462499999999</v>
      </c>
      <c r="C37" s="36">
        <v>0.68410455578512297</v>
      </c>
      <c r="D37" s="83">
        <v>51.924568476534297</v>
      </c>
      <c r="E37" s="83"/>
      <c r="F37" s="83">
        <f t="shared" si="4"/>
        <v>0.19264001294999503</v>
      </c>
      <c r="G37" s="87">
        <v>1</v>
      </c>
      <c r="H37" s="83">
        <f t="shared" si="0"/>
        <v>-0.37964451370640923</v>
      </c>
      <c r="I37" s="83">
        <f t="shared" si="1"/>
        <v>3.9497920592131379</v>
      </c>
      <c r="J37" s="89">
        <f t="shared" si="2"/>
        <v>1.7116530173484357E-3</v>
      </c>
      <c r="K37" s="90">
        <f t="shared" si="5"/>
        <v>2.9297560517980044E-6</v>
      </c>
      <c r="L37">
        <f t="shared" si="3"/>
        <v>2.9705369388760227E-3</v>
      </c>
      <c r="M37" s="90">
        <f t="shared" si="7"/>
        <v>-9.5129591522198353E-3</v>
      </c>
      <c r="N37" s="90">
        <f t="shared" si="8"/>
        <v>1.2607698614253149E-3</v>
      </c>
      <c r="O37">
        <f t="shared" si="6"/>
        <v>1.2599191835722012E-4</v>
      </c>
    </row>
    <row r="38" spans="2:15">
      <c r="B38" s="84">
        <v>1.20741375</v>
      </c>
      <c r="C38" s="36">
        <v>0.68323114669421503</v>
      </c>
      <c r="D38" s="83">
        <v>55.2782223830311</v>
      </c>
      <c r="E38" s="83"/>
      <c r="F38" s="83">
        <f t="shared" si="4"/>
        <v>0.18848067542202021</v>
      </c>
      <c r="G38" s="87">
        <v>1</v>
      </c>
      <c r="H38" s="83">
        <f t="shared" si="0"/>
        <v>-0.38092204812332631</v>
      </c>
      <c r="I38" s="83">
        <f t="shared" si="1"/>
        <v>4.0123790223401929</v>
      </c>
      <c r="J38" s="89">
        <f t="shared" si="2"/>
        <v>-1.6480575597000002E-2</v>
      </c>
      <c r="K38" s="90">
        <f t="shared" si="5"/>
        <v>2.71609372008432E-4</v>
      </c>
      <c r="L38">
        <f t="shared" si="3"/>
        <v>2.5344473388917276E-3</v>
      </c>
      <c r="M38" s="90">
        <f t="shared" si="7"/>
        <v>1.7116530173484357E-3</v>
      </c>
      <c r="N38" s="90">
        <f t="shared" si="8"/>
        <v>-9.5129591522198353E-3</v>
      </c>
      <c r="O38">
        <f t="shared" si="6"/>
        <v>3.3095718195671808E-4</v>
      </c>
    </row>
    <row r="39" spans="2:15">
      <c r="B39" s="84">
        <v>1.2187779999999999</v>
      </c>
      <c r="C39" s="36">
        <v>0.68520345454545395</v>
      </c>
      <c r="D39" s="83">
        <v>57.959206316692402</v>
      </c>
      <c r="E39" s="83"/>
      <c r="F39" s="83">
        <f t="shared" si="4"/>
        <v>0.19784871742498764</v>
      </c>
      <c r="G39" s="87">
        <v>1</v>
      </c>
      <c r="H39" s="83">
        <f t="shared" si="0"/>
        <v>-0.37803947088484929</v>
      </c>
      <c r="I39" s="83">
        <f t="shared" si="1"/>
        <v>4.0597394237198756</v>
      </c>
      <c r="J39" s="89">
        <f t="shared" si="2"/>
        <v>-2.0841057955988229E-2</v>
      </c>
      <c r="K39" s="90">
        <f t="shared" si="5"/>
        <v>4.3434969672486026E-4</v>
      </c>
      <c r="L39">
        <f t="shared" si="3"/>
        <v>3.5654437517784587E-3</v>
      </c>
      <c r="M39" s="90">
        <f t="shared" si="7"/>
        <v>-1.6480575597000002E-2</v>
      </c>
      <c r="N39" s="90">
        <f t="shared" si="8"/>
        <v>1.7116530173484357E-3</v>
      </c>
      <c r="O39">
        <f t="shared" si="6"/>
        <v>1.9013806403047533E-5</v>
      </c>
    </row>
    <row r="40" spans="2:15">
      <c r="B40" s="84">
        <v>1.2602487499999999</v>
      </c>
      <c r="C40" s="36">
        <v>0.69240085743801605</v>
      </c>
      <c r="D40" s="83">
        <v>63.071445996009103</v>
      </c>
      <c r="E40" s="83"/>
      <c r="F40" s="83">
        <f t="shared" si="4"/>
        <v>0.23130912211341809</v>
      </c>
      <c r="G40" s="87">
        <v>1</v>
      </c>
      <c r="H40" s="83">
        <f t="shared" si="0"/>
        <v>-0.36759021732438507</v>
      </c>
      <c r="I40" s="83">
        <f t="shared" si="1"/>
        <v>4.1442681472560778</v>
      </c>
      <c r="J40" s="89">
        <f t="shared" si="2"/>
        <v>-1.6168457350713594E-2</v>
      </c>
      <c r="K40" s="90">
        <f t="shared" si="5"/>
        <v>2.6141901310184446E-4</v>
      </c>
      <c r="L40">
        <f t="shared" si="3"/>
        <v>8.6809734265536221E-3</v>
      </c>
      <c r="M40" s="90">
        <f t="shared" si="7"/>
        <v>-2.0841057955988229E-2</v>
      </c>
      <c r="N40" s="90">
        <f t="shared" si="8"/>
        <v>-1.6480575597000002E-2</v>
      </c>
      <c r="O40">
        <f t="shared" si="6"/>
        <v>2.1833196416412885E-5</v>
      </c>
    </row>
    <row r="41" spans="2:15">
      <c r="B41" s="85">
        <v>1.2879516666666599</v>
      </c>
      <c r="C41" s="36">
        <v>0.69720880165289201</v>
      </c>
      <c r="D41" s="83">
        <v>62.456477365608201</v>
      </c>
      <c r="E41" s="83"/>
      <c r="F41" s="83">
        <f t="shared" si="4"/>
        <v>0.25305310109812601</v>
      </c>
      <c r="G41" s="87">
        <v>1</v>
      </c>
      <c r="H41" s="83">
        <f t="shared" si="0"/>
        <v>-0.36067034112896312</v>
      </c>
      <c r="I41" s="83">
        <f t="shared" si="1"/>
        <v>4.1344699520193462</v>
      </c>
      <c r="J41" s="89">
        <f t="shared" si="2"/>
        <v>2.3437929240479605E-3</v>
      </c>
      <c r="K41" s="90">
        <f t="shared" si="5"/>
        <v>5.4933652708172888E-6</v>
      </c>
      <c r="L41">
        <f t="shared" si="3"/>
        <v>1.3205622829826694E-2</v>
      </c>
      <c r="M41" s="90">
        <f t="shared" si="7"/>
        <v>-1.6168457350713594E-2</v>
      </c>
      <c r="N41" s="90">
        <f t="shared" si="8"/>
        <v>-2.0841057955988229E-2</v>
      </c>
      <c r="O41">
        <f t="shared" si="6"/>
        <v>3.4270341023540926E-4</v>
      </c>
    </row>
    <row r="42" spans="2:15">
      <c r="B42" s="84">
        <v>1.29184875</v>
      </c>
      <c r="C42" s="36">
        <v>0.69788515495867698</v>
      </c>
      <c r="D42" s="83">
        <v>62.49</v>
      </c>
      <c r="E42" s="83"/>
      <c r="F42" s="83">
        <f t="shared" si="4"/>
        <v>0.25607433194411766</v>
      </c>
      <c r="G42" s="87">
        <v>1</v>
      </c>
      <c r="H42" s="83">
        <f t="shared" si="0"/>
        <v>-0.35970072420019716</v>
      </c>
      <c r="I42" s="83">
        <f t="shared" si="1"/>
        <v>4.1350065439409907</v>
      </c>
      <c r="J42" s="89">
        <f t="shared" si="2"/>
        <v>4.4525626013677266E-3</v>
      </c>
      <c r="K42" s="90">
        <f t="shared" si="5"/>
        <v>1.9825313719098538E-5</v>
      </c>
      <c r="L42">
        <f t="shared" si="3"/>
        <v>1.3909124504889413E-2</v>
      </c>
      <c r="M42" s="90">
        <f t="shared" si="7"/>
        <v>2.3437929240479605E-3</v>
      </c>
      <c r="N42" s="90">
        <f t="shared" si="8"/>
        <v>-1.6168457350713594E-2</v>
      </c>
      <c r="O42">
        <f t="shared" si="6"/>
        <v>4.4469095519833106E-6</v>
      </c>
    </row>
    <row r="43" spans="2:15">
      <c r="B43" s="84">
        <v>1.2715562499999999</v>
      </c>
      <c r="C43" s="36">
        <v>0.69436331611570201</v>
      </c>
      <c r="D43" s="83">
        <v>64.45</v>
      </c>
      <c r="E43" s="83"/>
      <c r="F43" s="83">
        <f t="shared" si="4"/>
        <v>0.24024154398920936</v>
      </c>
      <c r="G43" s="87">
        <v>1</v>
      </c>
      <c r="H43" s="83">
        <f t="shared" si="0"/>
        <v>-0.36475994520584604</v>
      </c>
      <c r="I43" s="83">
        <f t="shared" si="1"/>
        <v>4.1658897293851966</v>
      </c>
      <c r="J43" s="89">
        <f t="shared" si="2"/>
        <v>-1.4726864520935079E-2</v>
      </c>
      <c r="K43" s="90">
        <f t="shared" si="5"/>
        <v>2.1688053861797639E-4</v>
      </c>
      <c r="L43">
        <f t="shared" si="3"/>
        <v>1.0425260192270904E-2</v>
      </c>
      <c r="M43" s="90">
        <f t="shared" si="7"/>
        <v>4.4525626013677266E-3</v>
      </c>
      <c r="N43" s="90">
        <f t="shared" si="8"/>
        <v>2.3437929240479605E-3</v>
      </c>
      <c r="O43">
        <f t="shared" si="6"/>
        <v>3.6785042473972448E-4</v>
      </c>
    </row>
    <row r="44" spans="2:15">
      <c r="B44" s="84">
        <v>1.3174325</v>
      </c>
      <c r="C44" s="36">
        <v>0.70232530991735498</v>
      </c>
      <c r="D44" s="83">
        <v>66.781035206800894</v>
      </c>
      <c r="E44" s="83"/>
      <c r="F44" s="83">
        <f t="shared" si="4"/>
        <v>0.27568476672432063</v>
      </c>
      <c r="G44" s="87">
        <v>1</v>
      </c>
      <c r="H44" s="83">
        <f t="shared" si="0"/>
        <v>-0.35335857785432762</v>
      </c>
      <c r="I44" s="83">
        <f t="shared" si="1"/>
        <v>4.2014191361443975</v>
      </c>
      <c r="J44" s="89">
        <f t="shared" si="2"/>
        <v>2.9537320226780128E-3</v>
      </c>
      <c r="K44" s="90">
        <f t="shared" si="5"/>
        <v>8.7245328617935451E-6</v>
      </c>
      <c r="L44">
        <f t="shared" si="3"/>
        <v>1.8919283444263496E-2</v>
      </c>
      <c r="M44" s="90">
        <f t="shared" si="7"/>
        <v>-1.4726864520935079E-2</v>
      </c>
      <c r="N44" s="90">
        <f t="shared" si="8"/>
        <v>4.4525626013677266E-3</v>
      </c>
      <c r="O44">
        <f t="shared" si="6"/>
        <v>3.126034941380232E-4</v>
      </c>
    </row>
    <row r="45" spans="2:15">
      <c r="B45" s="86">
        <v>1.3332575</v>
      </c>
      <c r="C45" s="36">
        <v>0.70507179752066096</v>
      </c>
      <c r="D45" s="83">
        <v>69.0628825227314</v>
      </c>
      <c r="E45" s="83"/>
      <c r="F45" s="83">
        <f t="shared" si="4"/>
        <v>0.28762519583433677</v>
      </c>
      <c r="G45" s="87">
        <v>1</v>
      </c>
      <c r="H45" s="83">
        <f t="shared" si="0"/>
        <v>-0.34945564090041725</v>
      </c>
      <c r="I45" s="83">
        <f t="shared" si="1"/>
        <v>4.2350174304874137</v>
      </c>
      <c r="J45" s="89">
        <f t="shared" si="2"/>
        <v>3.6539395397239272E-3</v>
      </c>
      <c r="K45" s="90">
        <f t="shared" si="5"/>
        <v>1.3351274159957904E-5</v>
      </c>
      <c r="L45">
        <f t="shared" si="3"/>
        <v>2.2346606919435824E-2</v>
      </c>
      <c r="M45" s="90">
        <f t="shared" si="7"/>
        <v>2.9537320226780128E-3</v>
      </c>
      <c r="N45" s="90">
        <f t="shared" si="8"/>
        <v>-1.4726864520935079E-2</v>
      </c>
      <c r="O45">
        <f t="shared" si="6"/>
        <v>4.9029056692760438E-7</v>
      </c>
    </row>
    <row r="46" spans="2:15">
      <c r="J46" s="53">
        <f>SUM(J6:J45)</f>
        <v>-1.5033529976449245E-12</v>
      </c>
      <c r="K46" s="53">
        <f>SUM(K6:K45)</f>
        <v>1.3872899114760752E-2</v>
      </c>
      <c r="L46" s="53">
        <f>SUM(L6:L45)</f>
        <v>0.32501966036386576</v>
      </c>
      <c r="M46" s="69"/>
      <c r="N46" s="69"/>
      <c r="O46" s="53">
        <f>SUM(O7:O45)</f>
        <v>1.769874095161127E-2</v>
      </c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scale="74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B3:AH48"/>
  <sheetViews>
    <sheetView workbookViewId="0">
      <selection activeCell="O28" sqref="O28"/>
    </sheetView>
  </sheetViews>
  <sheetFormatPr defaultRowHeight="15"/>
  <cols>
    <col min="2" max="2" width="13.42578125" bestFit="1" customWidth="1"/>
    <col min="3" max="3" width="7" customWidth="1"/>
    <col min="4" max="5" width="13.42578125" bestFit="1" customWidth="1"/>
    <col min="6" max="6" width="12.5703125" bestFit="1" customWidth="1"/>
    <col min="7" max="7" width="9.28515625" bestFit="1" customWidth="1"/>
    <col min="8" max="8" width="9.28515625" customWidth="1"/>
    <col min="9" max="9" width="12.5703125" bestFit="1" customWidth="1"/>
    <col min="10" max="14" width="9.28515625" customWidth="1"/>
    <col min="15" max="15" width="12.7109375" bestFit="1" customWidth="1"/>
    <col min="16" max="18" width="9.28515625" customWidth="1"/>
    <col min="20" max="20" width="13.42578125" bestFit="1" customWidth="1"/>
    <col min="21" max="21" width="13.42578125" customWidth="1"/>
    <col min="22" max="22" width="13.42578125" bestFit="1" customWidth="1"/>
    <col min="23" max="23" width="12.5703125" bestFit="1" customWidth="1"/>
    <col min="24" max="25" width="13.42578125" bestFit="1" customWidth="1"/>
    <col min="27" max="27" width="12.5703125" bestFit="1" customWidth="1"/>
    <col min="30" max="30" width="10.28515625" bestFit="1" customWidth="1"/>
    <col min="33" max="33" width="12.5703125" bestFit="1" customWidth="1"/>
  </cols>
  <sheetData>
    <row r="3" spans="2:34" ht="18.75">
      <c r="B3" s="79" t="s">
        <v>211</v>
      </c>
      <c r="C3" s="79"/>
      <c r="G3" s="37" t="s">
        <v>212</v>
      </c>
      <c r="T3" s="46" t="s">
        <v>210</v>
      </c>
      <c r="Y3" s="37" t="s">
        <v>213</v>
      </c>
    </row>
    <row r="6" spans="2:34" ht="18.75">
      <c r="B6" s="67" t="s">
        <v>200</v>
      </c>
      <c r="C6" s="67" t="s">
        <v>92</v>
      </c>
      <c r="D6" s="67" t="s">
        <v>197</v>
      </c>
      <c r="E6" s="67" t="s">
        <v>198</v>
      </c>
      <c r="F6" s="67" t="s">
        <v>201</v>
      </c>
      <c r="G6" s="67" t="s">
        <v>202</v>
      </c>
      <c r="H6" s="96" t="s">
        <v>115</v>
      </c>
      <c r="I6" s="67" t="s">
        <v>155</v>
      </c>
      <c r="J6" s="76"/>
      <c r="K6" s="76"/>
      <c r="L6" s="76"/>
      <c r="M6" s="76"/>
      <c r="N6" s="76"/>
      <c r="O6" s="76"/>
      <c r="P6" s="76"/>
      <c r="Q6" s="76"/>
      <c r="R6" s="76"/>
    </row>
    <row r="7" spans="2:34">
      <c r="B7" s="83">
        <f>'Ex8'!J6</f>
        <v>-1.1143676003589786E-2</v>
      </c>
      <c r="C7" s="87">
        <v>1</v>
      </c>
      <c r="D7" s="83">
        <f>'Ex8'!H6</f>
        <v>-0.57529451520825237</v>
      </c>
      <c r="E7" s="83">
        <f>'Ex8'!I6</f>
        <v>3.5188590139366167</v>
      </c>
      <c r="F7" s="98">
        <v>0</v>
      </c>
      <c r="G7" s="52">
        <v>0</v>
      </c>
      <c r="H7" s="40">
        <f>(B7-L$27-L$28*D7-L$29*E7-L$30*F7-L$31*G7)^2</f>
        <v>9.6006534823298768E-5</v>
      </c>
      <c r="I7" s="97">
        <f>(B7-O$22)^2</f>
        <v>1.2418151487214517E-4</v>
      </c>
    </row>
    <row r="8" spans="2:34" ht="17.25">
      <c r="B8" s="83">
        <f>'Ex8'!J7</f>
        <v>-1.1119420114263256E-2</v>
      </c>
      <c r="C8" s="87">
        <v>1</v>
      </c>
      <c r="D8" s="83">
        <f>'Ex8'!H7</f>
        <v>-0.57247649123844058</v>
      </c>
      <c r="E8" s="83">
        <f>'Ex8'!I7</f>
        <v>3.5538966078588587</v>
      </c>
      <c r="F8" s="90">
        <f>'Ex8'!M7</f>
        <v>-1.1143676003589786E-2</v>
      </c>
      <c r="G8" s="52">
        <v>0</v>
      </c>
      <c r="H8" s="40">
        <f t="shared" ref="H8:H46" si="0">(B8-L$27-L$28*D8-L$29*E8-L$30*F8-L$31*G8)^2</f>
        <v>2.4725373484388593E-5</v>
      </c>
      <c r="I8" s="97">
        <f t="shared" ref="I8:I46" si="1">(B8-O$22)^2</f>
        <v>1.2364150367664644E-4</v>
      </c>
      <c r="T8" s="67" t="s">
        <v>103</v>
      </c>
      <c r="U8" s="95" t="s">
        <v>92</v>
      </c>
      <c r="V8" s="95" t="s">
        <v>197</v>
      </c>
      <c r="W8" s="95" t="s">
        <v>198</v>
      </c>
      <c r="X8" s="95" t="s">
        <v>104</v>
      </c>
      <c r="Y8" s="95" t="s">
        <v>105</v>
      </c>
      <c r="Z8" s="96" t="s">
        <v>115</v>
      </c>
      <c r="AA8" s="67" t="s">
        <v>155</v>
      </c>
      <c r="AB8" s="76"/>
      <c r="AC8" s="76"/>
      <c r="AD8" s="76"/>
      <c r="AE8" s="76"/>
      <c r="AF8" s="76"/>
      <c r="AG8" s="76"/>
    </row>
    <row r="9" spans="2:34">
      <c r="B9" s="83">
        <f>'Ex8'!J8</f>
        <v>-2.8217284216718763E-2</v>
      </c>
      <c r="C9" s="87">
        <v>1</v>
      </c>
      <c r="D9" s="83">
        <f>'Ex8'!H8</f>
        <v>-0.56708004692184844</v>
      </c>
      <c r="E9" s="83">
        <f>'Ex8'!I8</f>
        <v>3.6912475656369041</v>
      </c>
      <c r="F9" s="90">
        <f>'Ex8'!M8</f>
        <v>-1.1119420114263256E-2</v>
      </c>
      <c r="G9" s="90">
        <f>'Ex8'!N8</f>
        <v>-1.1143676003589786E-2</v>
      </c>
      <c r="H9" s="40">
        <f t="shared" si="0"/>
        <v>6.5072093408080763E-4</v>
      </c>
      <c r="I9" s="97">
        <f t="shared" si="1"/>
        <v>7.9621512856496474E-4</v>
      </c>
      <c r="J9" s="90"/>
      <c r="K9" s="38"/>
      <c r="L9" s="40">
        <f t="array" ref="L9:P13">MMULT(TRANSPOSE(C7:G46),C7:G46)</f>
        <v>40</v>
      </c>
      <c r="M9" s="50">
        <v>-17.454637114059487</v>
      </c>
      <c r="N9" s="50">
        <v>156.83361251254988</v>
      </c>
      <c r="O9" s="50">
        <v>-3.6539395412272802E-3</v>
      </c>
      <c r="P9" s="41">
        <v>-6.607671563905293E-3</v>
      </c>
      <c r="Q9" s="90"/>
      <c r="R9" s="90"/>
      <c r="T9" s="92">
        <f>B9</f>
        <v>-2.8217284216718763E-2</v>
      </c>
      <c r="U9" s="93">
        <f>'Ex8'!G6</f>
        <v>1</v>
      </c>
      <c r="V9" s="92">
        <f t="shared" ref="V9:V46" si="2">D9</f>
        <v>-0.56708004692184844</v>
      </c>
      <c r="W9" s="92">
        <f t="shared" ref="W9:W46" si="3">E9</f>
        <v>3.6912475656369041</v>
      </c>
      <c r="X9" s="92">
        <f t="shared" ref="X9:Y46" si="4">F9</f>
        <v>-1.1119420114263256E-2</v>
      </c>
      <c r="Y9" s="92">
        <f t="shared" si="4"/>
        <v>-1.1143676003589786E-2</v>
      </c>
      <c r="Z9" s="40">
        <f>(T9-AD$27-AD$28*V9-AD$29*W9-AD$30*X9-AD$31*Y9)^2</f>
        <v>8.1308749709813695E-4</v>
      </c>
      <c r="AA9" s="97">
        <f>(T9-AG$22)^2</f>
        <v>8.2962174758286313E-4</v>
      </c>
      <c r="AC9" s="38"/>
      <c r="AD9" s="40">
        <f t="array" ref="AD9:AH13">MMULT(TRANSPOSE(U9:Y46),U9:Y46)</f>
        <v>38</v>
      </c>
      <c r="AE9" s="50">
        <v>-16.306866107612795</v>
      </c>
      <c r="AF9" s="50">
        <v>149.76085689075444</v>
      </c>
      <c r="AG9" s="50">
        <v>7.4897364623625062E-3</v>
      </c>
      <c r="AH9" s="41">
        <v>-6.607671563905293E-3</v>
      </c>
    </row>
    <row r="10" spans="2:34">
      <c r="B10" s="83">
        <f>'Ex8'!J9</f>
        <v>8.9830980366665258E-3</v>
      </c>
      <c r="C10" s="87">
        <v>1</v>
      </c>
      <c r="D10" s="83">
        <f>'Ex8'!H9</f>
        <v>-0.55407707408671969</v>
      </c>
      <c r="E10" s="83">
        <f>'Ex8'!I9</f>
        <v>3.6914901816227648</v>
      </c>
      <c r="F10" s="90">
        <f>'Ex8'!M9</f>
        <v>-2.8217284216718763E-2</v>
      </c>
      <c r="G10" s="90">
        <f>'Ex8'!N9</f>
        <v>-1.1119420114263256E-2</v>
      </c>
      <c r="H10" s="40">
        <f t="shared" si="0"/>
        <v>3.7808931546596435E-4</v>
      </c>
      <c r="I10" s="97">
        <f t="shared" si="1"/>
        <v>8.0696050337037247E-5</v>
      </c>
      <c r="J10" s="90"/>
      <c r="L10" s="40">
        <v>-17.454637114059487</v>
      </c>
      <c r="M10" s="50">
        <v>7.7878445351210956</v>
      </c>
      <c r="N10" s="50">
        <v>-68.08552342792467</v>
      </c>
      <c r="O10" s="50">
        <v>-3.3964294026003683E-3</v>
      </c>
      <c r="P10" s="41">
        <v>-3.0965473668178303E-3</v>
      </c>
      <c r="Q10" s="90"/>
      <c r="R10" s="90"/>
      <c r="T10" s="92">
        <f t="shared" ref="T10:T46" si="5">B10</f>
        <v>8.9830980366665258E-3</v>
      </c>
      <c r="U10" s="93">
        <f>'Ex8'!G7</f>
        <v>1</v>
      </c>
      <c r="V10" s="92">
        <f t="shared" si="2"/>
        <v>-0.55407707408671969</v>
      </c>
      <c r="W10" s="92">
        <f t="shared" si="3"/>
        <v>3.6914901816227648</v>
      </c>
      <c r="X10" s="92">
        <f t="shared" si="4"/>
        <v>-2.8217284216718763E-2</v>
      </c>
      <c r="Y10" s="92">
        <f t="shared" si="4"/>
        <v>-1.1119420114263256E-2</v>
      </c>
      <c r="Z10" s="40">
        <f t="shared" ref="Z10:Z46" si="6">(T10-AD$27-AD$28*V10-AD$29*W10-AD$30*X10-AD$31*Y10)^2</f>
        <v>2.6327265594638943E-4</v>
      </c>
      <c r="AA10" s="97">
        <f t="shared" ref="AA10:AA46" si="7">(T10-AG$22)^2</f>
        <v>7.0513422737820112E-5</v>
      </c>
      <c r="AD10" s="40">
        <v>-16.306866107612795</v>
      </c>
      <c r="AE10" s="50">
        <v>7.1291514228717201</v>
      </c>
      <c r="AF10" s="50">
        <v>-64.026620877124572</v>
      </c>
      <c r="AG10" s="50">
        <v>-9.7759219406334634E-3</v>
      </c>
      <c r="AH10" s="41">
        <v>-3.0965473668178303E-3</v>
      </c>
    </row>
    <row r="11" spans="2:34">
      <c r="B11" s="83">
        <f>'Ex8'!J10</f>
        <v>2.4488540966401851E-2</v>
      </c>
      <c r="C11" s="87">
        <v>1</v>
      </c>
      <c r="D11" s="83">
        <f>'Ex8'!H10</f>
        <v>-0.55260614825764609</v>
      </c>
      <c r="E11" s="83">
        <f>'Ex8'!I10</f>
        <v>3.6441564077551005</v>
      </c>
      <c r="F11" s="90">
        <f>'Ex8'!M10</f>
        <v>8.9830980366665258E-3</v>
      </c>
      <c r="G11" s="90">
        <f>'Ex8'!N10</f>
        <v>-2.8217284216718763E-2</v>
      </c>
      <c r="H11" s="40">
        <f t="shared" si="0"/>
        <v>2.1066953364556122E-4</v>
      </c>
      <c r="I11" s="97">
        <f t="shared" si="1"/>
        <v>5.9968863866498247E-4</v>
      </c>
      <c r="J11" s="90"/>
      <c r="K11" s="38" t="s">
        <v>93</v>
      </c>
      <c r="L11" s="40">
        <v>156.83361251254988</v>
      </c>
      <c r="M11" s="50">
        <v>-68.08552342792467</v>
      </c>
      <c r="N11" s="50">
        <v>616.00286344744848</v>
      </c>
      <c r="O11" s="50">
        <v>-3.243332489437472E-2</v>
      </c>
      <c r="P11" s="41">
        <v>-4.3961892234788337E-2</v>
      </c>
      <c r="Q11" s="90"/>
      <c r="R11" s="90"/>
      <c r="T11" s="92">
        <f t="shared" si="5"/>
        <v>2.4488540966401851E-2</v>
      </c>
      <c r="U11" s="93">
        <f>'Ex8'!G8</f>
        <v>1</v>
      </c>
      <c r="V11" s="92">
        <f t="shared" si="2"/>
        <v>-0.55260614825764609</v>
      </c>
      <c r="W11" s="92">
        <f t="shared" si="3"/>
        <v>3.6441564077551005</v>
      </c>
      <c r="X11" s="92">
        <f t="shared" si="4"/>
        <v>8.9830980366665258E-3</v>
      </c>
      <c r="Y11" s="92">
        <f t="shared" si="4"/>
        <v>-2.8217284216718763E-2</v>
      </c>
      <c r="Z11" s="40">
        <f t="shared" si="6"/>
        <v>1.3170624566953738E-4</v>
      </c>
      <c r="AA11" s="97">
        <f t="shared" si="7"/>
        <v>5.7133763389242758E-4</v>
      </c>
      <c r="AC11" s="38" t="s">
        <v>93</v>
      </c>
      <c r="AD11" s="40">
        <v>149.76085689075444</v>
      </c>
      <c r="AE11" s="50">
        <v>-64.026620877124572</v>
      </c>
      <c r="AF11" s="50">
        <v>590.99031358813488</v>
      </c>
      <c r="AG11" s="50">
        <v>7.1701474538612472E-3</v>
      </c>
      <c r="AH11" s="41">
        <v>-4.3961892234788337E-2</v>
      </c>
    </row>
    <row r="12" spans="2:34">
      <c r="B12" s="83">
        <f>'Ex8'!J11</f>
        <v>-1.6171567418071242E-2</v>
      </c>
      <c r="C12" s="87">
        <v>1</v>
      </c>
      <c r="D12" s="83">
        <f>'Ex8'!H11</f>
        <v>-0.54019473934232665</v>
      </c>
      <c r="E12" s="83">
        <f>'Ex8'!I11</f>
        <v>3.8005733695429802</v>
      </c>
      <c r="F12" s="90">
        <f>'Ex8'!M11</f>
        <v>2.4488540966401851E-2</v>
      </c>
      <c r="G12" s="90">
        <f>'Ex8'!N11</f>
        <v>8.9830980366665258E-3</v>
      </c>
      <c r="H12" s="40">
        <f t="shared" si="0"/>
        <v>6.275221369954556E-4</v>
      </c>
      <c r="I12" s="97">
        <f t="shared" si="1"/>
        <v>2.6151959275600779E-4</v>
      </c>
      <c r="J12" s="90"/>
      <c r="L12" s="40">
        <v>-3.6539395412272802E-3</v>
      </c>
      <c r="M12" s="50">
        <v>-3.3964294026003683E-3</v>
      </c>
      <c r="N12" s="50">
        <v>-3.243332489437472E-2</v>
      </c>
      <c r="O12" s="50">
        <v>1.3859547840600794E-2</v>
      </c>
      <c r="P12" s="41">
        <v>4.943969486211233E-3</v>
      </c>
      <c r="Q12" s="90"/>
      <c r="R12" s="90"/>
      <c r="T12" s="92">
        <f t="shared" si="5"/>
        <v>-1.6171567418071242E-2</v>
      </c>
      <c r="U12" s="93">
        <f>'Ex8'!G9</f>
        <v>1</v>
      </c>
      <c r="V12" s="92">
        <f t="shared" si="2"/>
        <v>-0.54019473934232665</v>
      </c>
      <c r="W12" s="92">
        <f t="shared" si="3"/>
        <v>3.8005733695429802</v>
      </c>
      <c r="X12" s="92">
        <f t="shared" si="4"/>
        <v>2.4488540966401851E-2</v>
      </c>
      <c r="Y12" s="92">
        <f t="shared" si="4"/>
        <v>8.9830980366665258E-3</v>
      </c>
      <c r="Z12" s="40">
        <f t="shared" si="6"/>
        <v>7.0181586789676547E-4</v>
      </c>
      <c r="AA12" s="97">
        <f t="shared" si="7"/>
        <v>2.808117406741261E-4</v>
      </c>
      <c r="AD12" s="40">
        <v>7.4897364623625062E-3</v>
      </c>
      <c r="AE12" s="50">
        <v>-9.7759219406334634E-3</v>
      </c>
      <c r="AF12" s="50">
        <v>7.1701474538612472E-3</v>
      </c>
      <c r="AG12" s="50">
        <v>1.3735366325727812E-2</v>
      </c>
      <c r="AH12" s="41">
        <v>4.943969486211233E-3</v>
      </c>
    </row>
    <row r="13" spans="2:34">
      <c r="B13" s="83">
        <f>'Ex8'!J12</f>
        <v>-1.4028714123202057E-3</v>
      </c>
      <c r="C13" s="87">
        <v>1</v>
      </c>
      <c r="D13" s="83">
        <f>'Ex8'!H12</f>
        <v>-0.49169976015505318</v>
      </c>
      <c r="E13" s="83">
        <f>'Ex8'!I12</f>
        <v>3.8685818457995054</v>
      </c>
      <c r="F13" s="90">
        <f>'Ex8'!M12</f>
        <v>-1.6171567418071242E-2</v>
      </c>
      <c r="G13" s="90">
        <f>'Ex8'!N12</f>
        <v>2.4488540966401851E-2</v>
      </c>
      <c r="H13" s="40">
        <f t="shared" si="0"/>
        <v>1.3387525760829181E-4</v>
      </c>
      <c r="I13" s="97">
        <f t="shared" si="1"/>
        <v>1.9680481993998382E-6</v>
      </c>
      <c r="J13" s="90"/>
      <c r="L13" s="40">
        <v>-6.607671563905293E-3</v>
      </c>
      <c r="M13" s="50">
        <v>-3.0965473668178303E-3</v>
      </c>
      <c r="N13" s="50">
        <v>-4.3961892234788337E-2</v>
      </c>
      <c r="O13" s="50">
        <v>4.943969486211233E-3</v>
      </c>
      <c r="P13" s="41">
        <v>1.3850823307739001E-2</v>
      </c>
      <c r="Q13" s="90"/>
      <c r="R13" s="90"/>
      <c r="T13" s="92">
        <f t="shared" si="5"/>
        <v>-1.4028714123202057E-3</v>
      </c>
      <c r="U13" s="93">
        <f>'Ex8'!G10</f>
        <v>1</v>
      </c>
      <c r="V13" s="92">
        <f t="shared" si="2"/>
        <v>-0.49169976015505318</v>
      </c>
      <c r="W13" s="92">
        <f t="shared" si="3"/>
        <v>3.8685818457995054</v>
      </c>
      <c r="X13" s="92">
        <f t="shared" si="4"/>
        <v>-1.6171567418071242E-2</v>
      </c>
      <c r="Y13" s="92">
        <f t="shared" si="4"/>
        <v>2.4488540966401851E-2</v>
      </c>
      <c r="Z13" s="40">
        <f t="shared" si="6"/>
        <v>1.0516160235211008E-4</v>
      </c>
      <c r="AA13" s="97">
        <f t="shared" si="7"/>
        <v>3.9550961853982847E-6</v>
      </c>
      <c r="AD13" s="40">
        <v>-6.607671563905293E-3</v>
      </c>
      <c r="AE13" s="50">
        <v>-3.0965473668178303E-3</v>
      </c>
      <c r="AF13" s="50">
        <v>-4.3961892234788337E-2</v>
      </c>
      <c r="AG13" s="50">
        <v>4.943969486211233E-3</v>
      </c>
      <c r="AH13" s="41">
        <v>1.3850823307739001E-2</v>
      </c>
    </row>
    <row r="14" spans="2:34">
      <c r="B14" s="83">
        <f>'Ex8'!J13</f>
        <v>-9.2005927297256207E-3</v>
      </c>
      <c r="C14" s="87">
        <v>1</v>
      </c>
      <c r="D14" s="83">
        <f>'Ex8'!H13</f>
        <v>-0.48641387437264655</v>
      </c>
      <c r="E14" s="83">
        <f>'Ex8'!I13</f>
        <v>3.9542895906880298</v>
      </c>
      <c r="F14" s="90">
        <f>'Ex8'!M13</f>
        <v>-1.4028714123202057E-3</v>
      </c>
      <c r="G14" s="90">
        <f>'Ex8'!N13</f>
        <v>-1.6171567418071242E-2</v>
      </c>
      <c r="H14" s="40">
        <f t="shared" si="0"/>
        <v>1.6892844744118764E-4</v>
      </c>
      <c r="I14" s="97">
        <f t="shared" si="1"/>
        <v>8.4650906577588347E-5</v>
      </c>
      <c r="J14" s="90"/>
      <c r="Q14" s="90"/>
      <c r="R14" s="90"/>
      <c r="T14" s="92">
        <f t="shared" si="5"/>
        <v>-9.2005927297256207E-3</v>
      </c>
      <c r="U14" s="93">
        <f>'Ex8'!G11</f>
        <v>1</v>
      </c>
      <c r="V14" s="92">
        <f t="shared" si="2"/>
        <v>-0.48641387437264655</v>
      </c>
      <c r="W14" s="92">
        <f t="shared" si="3"/>
        <v>3.9542895906880298</v>
      </c>
      <c r="X14" s="92">
        <f t="shared" si="4"/>
        <v>-1.4028714123202057E-3</v>
      </c>
      <c r="Y14" s="92">
        <f t="shared" si="4"/>
        <v>-1.6171567418071242E-2</v>
      </c>
      <c r="Z14" s="40">
        <f t="shared" si="6"/>
        <v>1.8654109630460671E-4</v>
      </c>
      <c r="AA14" s="97">
        <f t="shared" si="7"/>
        <v>9.5774871363010062E-5</v>
      </c>
    </row>
    <row r="15" spans="2:34">
      <c r="B15" s="83">
        <f>'Ex8'!J14</f>
        <v>2.3993114610334265E-2</v>
      </c>
      <c r="C15" s="87">
        <v>1</v>
      </c>
      <c r="D15" s="83">
        <f>'Ex8'!H14</f>
        <v>-0.47402159128148397</v>
      </c>
      <c r="E15" s="83">
        <f>'Ex8'!I14</f>
        <v>3.9381689849738533</v>
      </c>
      <c r="F15" s="90">
        <f>'Ex8'!M14</f>
        <v>-9.2005927297256207E-3</v>
      </c>
      <c r="G15" s="90">
        <f>'Ex8'!N14</f>
        <v>-1.4028714123202057E-3</v>
      </c>
      <c r="H15" s="40">
        <f t="shared" si="0"/>
        <v>7.5043697823087981E-4</v>
      </c>
      <c r="I15" s="97">
        <f t="shared" si="1"/>
        <v>5.7566954870643912E-4</v>
      </c>
      <c r="J15" s="90"/>
      <c r="L15" s="40">
        <f t="array" ref="L15:P19">MINVERSE(L9:P13)</f>
        <v>65.817531009824009</v>
      </c>
      <c r="M15" s="50">
        <v>29.89122401630528</v>
      </c>
      <c r="N15" s="50">
        <v>-13.453741982926616</v>
      </c>
      <c r="O15" s="50">
        <v>-5.9109072630138924</v>
      </c>
      <c r="P15" s="41">
        <v>-2.5102039216509957</v>
      </c>
      <c r="Q15" s="90"/>
      <c r="R15" s="90"/>
      <c r="T15" s="92">
        <f t="shared" si="5"/>
        <v>2.3993114610334265E-2</v>
      </c>
      <c r="U15" s="93">
        <f>'Ex8'!G12</f>
        <v>1</v>
      </c>
      <c r="V15" s="92">
        <f t="shared" si="2"/>
        <v>-0.47402159128148397</v>
      </c>
      <c r="W15" s="92">
        <f t="shared" si="3"/>
        <v>3.9381689849738533</v>
      </c>
      <c r="X15" s="92">
        <f t="shared" si="4"/>
        <v>-9.2005927297256207E-3</v>
      </c>
      <c r="Y15" s="92">
        <f t="shared" si="4"/>
        <v>-1.4028714123202057E-3</v>
      </c>
      <c r="Z15" s="40">
        <f t="shared" si="6"/>
        <v>7.0897364243468195E-4</v>
      </c>
      <c r="AA15" s="97">
        <f t="shared" si="7"/>
        <v>5.4789905575411651E-4</v>
      </c>
      <c r="AD15" s="40">
        <f t="array" ref="AD15:AH19">MINVERSE(AD9:AH13)</f>
        <v>69.721971928120894</v>
      </c>
      <c r="AE15" s="50">
        <v>29.183273092166601</v>
      </c>
      <c r="AF15" s="50">
        <v>-14.506491985616631</v>
      </c>
      <c r="AG15" s="50">
        <v>-8.5172807990426147</v>
      </c>
      <c r="AH15" s="41">
        <v>-3.216876085490342</v>
      </c>
    </row>
    <row r="16" spans="2:34">
      <c r="B16" s="83">
        <f>'Ex8'!J15</f>
        <v>4.5050394247344916E-2</v>
      </c>
      <c r="C16" s="87">
        <v>1</v>
      </c>
      <c r="D16" s="83">
        <f>'Ex8'!H15</f>
        <v>-0.47020855933338201</v>
      </c>
      <c r="E16" s="83">
        <f>'Ex8'!I15</f>
        <v>3.8872888747026058</v>
      </c>
      <c r="F16" s="90">
        <f>'Ex8'!M15</f>
        <v>2.3993114610334265E-2</v>
      </c>
      <c r="G16" s="90">
        <f>'Ex8'!N15</f>
        <v>-9.2005927297256207E-3</v>
      </c>
      <c r="H16" s="40">
        <f t="shared" si="0"/>
        <v>1.0281281122675877E-3</v>
      </c>
      <c r="I16" s="97">
        <f t="shared" si="1"/>
        <v>2.0295380218445938E-3</v>
      </c>
      <c r="J16" s="90"/>
      <c r="L16" s="40">
        <v>29.891224016305106</v>
      </c>
      <c r="M16" s="50">
        <v>17.473774190428074</v>
      </c>
      <c r="N16" s="50">
        <v>-5.678957275841916</v>
      </c>
      <c r="O16" s="50">
        <v>-1.3492250406658899</v>
      </c>
      <c r="P16" s="41">
        <v>0.62325393035178411</v>
      </c>
      <c r="Q16" s="90"/>
      <c r="R16" s="90"/>
      <c r="T16" s="92">
        <f t="shared" si="5"/>
        <v>4.5050394247344916E-2</v>
      </c>
      <c r="U16" s="93">
        <f>'Ex8'!G13</f>
        <v>1</v>
      </c>
      <c r="V16" s="92">
        <f t="shared" si="2"/>
        <v>-0.47020855933338201</v>
      </c>
      <c r="W16" s="92">
        <f t="shared" si="3"/>
        <v>3.8872888747026058</v>
      </c>
      <c r="X16" s="92">
        <f t="shared" si="4"/>
        <v>2.3993114610334265E-2</v>
      </c>
      <c r="Y16" s="92">
        <f t="shared" si="4"/>
        <v>-9.2005927297256207E-3</v>
      </c>
      <c r="Z16" s="40">
        <f t="shared" si="6"/>
        <v>9.8890183760995095E-4</v>
      </c>
      <c r="AA16" s="97">
        <f t="shared" si="7"/>
        <v>1.9770938320218664E-3</v>
      </c>
      <c r="AD16" s="40">
        <v>29.183273092166718</v>
      </c>
      <c r="AE16" s="50">
        <v>17.621118771904509</v>
      </c>
      <c r="AF16" s="50">
        <v>-5.4861372943716686</v>
      </c>
      <c r="AG16" s="50">
        <v>-0.76813731363540205</v>
      </c>
      <c r="AH16" s="41">
        <v>0.72304608781884561</v>
      </c>
    </row>
    <row r="17" spans="2:34" ht="17.25">
      <c r="B17" s="83">
        <f>'Ex8'!J16</f>
        <v>2.6308455180207413E-2</v>
      </c>
      <c r="C17" s="87">
        <v>1</v>
      </c>
      <c r="D17" s="83">
        <f>'Ex8'!H16</f>
        <v>-0.48245216363225152</v>
      </c>
      <c r="E17" s="83">
        <f>'Ex8'!I16</f>
        <v>3.8461810867590578</v>
      </c>
      <c r="F17" s="90">
        <f>'Ex8'!M16</f>
        <v>4.5050394247344916E-2</v>
      </c>
      <c r="G17" s="90">
        <f>'Ex8'!N16</f>
        <v>2.3993114610334265E-2</v>
      </c>
      <c r="H17" s="40">
        <f t="shared" si="0"/>
        <v>1.4309920407748968E-4</v>
      </c>
      <c r="I17" s="97">
        <f t="shared" si="1"/>
        <v>6.9213481397095982E-4</v>
      </c>
      <c r="J17" s="90"/>
      <c r="K17" s="38" t="s">
        <v>94</v>
      </c>
      <c r="L17" s="40">
        <v>-13.453741982926637</v>
      </c>
      <c r="M17" s="50">
        <v>-5.6789572758419613</v>
      </c>
      <c r="N17" s="50">
        <v>2.799369369816413</v>
      </c>
      <c r="O17" s="50">
        <v>1.3581418971324963</v>
      </c>
      <c r="P17" s="41">
        <v>0.71244096593682493</v>
      </c>
      <c r="Q17" s="90"/>
      <c r="R17" s="90"/>
      <c r="T17" s="92">
        <f t="shared" si="5"/>
        <v>2.6308455180207413E-2</v>
      </c>
      <c r="U17" s="93">
        <f>'Ex8'!G14</f>
        <v>1</v>
      </c>
      <c r="V17" s="92">
        <f t="shared" si="2"/>
        <v>-0.48245216363225152</v>
      </c>
      <c r="W17" s="92">
        <f t="shared" si="3"/>
        <v>3.8461810867590578</v>
      </c>
      <c r="X17" s="92">
        <f t="shared" si="4"/>
        <v>4.5050394247344916E-2</v>
      </c>
      <c r="Y17" s="92">
        <f t="shared" si="4"/>
        <v>2.3993114610334265E-2</v>
      </c>
      <c r="Z17" s="40">
        <f t="shared" si="6"/>
        <v>1.3242901672185298E-4</v>
      </c>
      <c r="AA17" s="97">
        <f t="shared" si="7"/>
        <v>6.6165133945798058E-4</v>
      </c>
      <c r="AC17" s="38" t="s">
        <v>94</v>
      </c>
      <c r="AD17" s="40">
        <v>-14.50649198561662</v>
      </c>
      <c r="AE17" s="50">
        <v>-5.4861372943716402</v>
      </c>
      <c r="AF17" s="50">
        <v>3.0834186433629314</v>
      </c>
      <c r="AG17" s="50">
        <v>2.071963074593842</v>
      </c>
      <c r="AH17" s="41">
        <v>0.90008926124107946</v>
      </c>
    </row>
    <row r="18" spans="2:34">
      <c r="B18" s="83">
        <f>'Ex8'!J17</f>
        <v>-3.114731940497828E-3</v>
      </c>
      <c r="C18" s="87">
        <v>1</v>
      </c>
      <c r="D18" s="83">
        <f>'Ex8'!H17</f>
        <v>-0.49214219462295927</v>
      </c>
      <c r="E18" s="83">
        <f>'Ex8'!I17</f>
        <v>3.8711931398354515</v>
      </c>
      <c r="F18" s="90">
        <f>'Ex8'!M17</f>
        <v>2.6308455180207413E-2</v>
      </c>
      <c r="G18" s="90">
        <f>'Ex8'!N17</f>
        <v>4.5050394247344916E-2</v>
      </c>
      <c r="H18" s="40">
        <f t="shared" si="0"/>
        <v>1.825110176429247E-5</v>
      </c>
      <c r="I18" s="97">
        <f t="shared" si="1"/>
        <v>9.7015550609232384E-6</v>
      </c>
      <c r="J18" s="90"/>
      <c r="L18" s="40">
        <v>-5.9109072630139456</v>
      </c>
      <c r="M18" s="50">
        <v>-1.3492250406659296</v>
      </c>
      <c r="N18" s="50">
        <v>1.3581418971325054</v>
      </c>
      <c r="O18" s="50">
        <v>83.671233630703583</v>
      </c>
      <c r="P18" s="41">
        <v>-28.676765451642659</v>
      </c>
      <c r="Q18" s="90"/>
      <c r="R18" s="90"/>
      <c r="T18" s="92">
        <f t="shared" si="5"/>
        <v>-3.114731940497828E-3</v>
      </c>
      <c r="U18" s="93">
        <f>'Ex8'!G15</f>
        <v>1</v>
      </c>
      <c r="V18" s="92">
        <f t="shared" si="2"/>
        <v>-0.49214219462295927</v>
      </c>
      <c r="W18" s="92">
        <f t="shared" si="3"/>
        <v>3.8711931398354515</v>
      </c>
      <c r="X18" s="92">
        <f t="shared" si="4"/>
        <v>2.6308455180207413E-2</v>
      </c>
      <c r="Y18" s="92">
        <f t="shared" si="4"/>
        <v>4.5050394247344916E-2</v>
      </c>
      <c r="Z18" s="40">
        <f t="shared" si="6"/>
        <v>2.2904537886788969E-5</v>
      </c>
      <c r="AA18" s="97">
        <f t="shared" si="7"/>
        <v>1.3694461756345284E-5</v>
      </c>
      <c r="AD18" s="40">
        <v>-8.5172807990425525</v>
      </c>
      <c r="AE18" s="50">
        <v>-0.76813731363536275</v>
      </c>
      <c r="AF18" s="50">
        <v>2.0719630745938304</v>
      </c>
      <c r="AG18" s="50">
        <v>86.03137936325426</v>
      </c>
      <c r="AH18" s="41">
        <v>-28.367054868343214</v>
      </c>
    </row>
    <row r="19" spans="2:34">
      <c r="B19" s="83">
        <f>'Ex8'!J18</f>
        <v>-3.0607954812909677E-2</v>
      </c>
      <c r="C19" s="87">
        <v>1</v>
      </c>
      <c r="D19" s="83">
        <f>'Ex8'!H18</f>
        <v>-0.46851343435276865</v>
      </c>
      <c r="E19" s="83">
        <f>'Ex8'!I18</f>
        <v>3.9527132394651239</v>
      </c>
      <c r="F19" s="90">
        <f>'Ex8'!M18</f>
        <v>-3.114731940497828E-3</v>
      </c>
      <c r="G19" s="90">
        <f>'Ex8'!N18</f>
        <v>2.6308455180207413E-2</v>
      </c>
      <c r="H19" s="40">
        <f t="shared" si="0"/>
        <v>5.4617399925843484E-4</v>
      </c>
      <c r="I19" s="97">
        <f t="shared" si="1"/>
        <v>9.3684689782681991E-4</v>
      </c>
      <c r="J19" s="90"/>
      <c r="L19" s="40">
        <v>-2.5102039216510819</v>
      </c>
      <c r="M19" s="50">
        <v>0.6232539303517376</v>
      </c>
      <c r="N19" s="50">
        <v>0.71244096593684159</v>
      </c>
      <c r="O19" s="50">
        <v>-28.676765451642655</v>
      </c>
      <c r="P19" s="41">
        <v>83.636951597039541</v>
      </c>
      <c r="Q19" s="90"/>
      <c r="R19" s="90"/>
      <c r="T19" s="92">
        <f t="shared" si="5"/>
        <v>-3.0607954812909677E-2</v>
      </c>
      <c r="U19" s="93">
        <f>'Ex8'!G16</f>
        <v>1</v>
      </c>
      <c r="V19" s="92">
        <f t="shared" si="2"/>
        <v>-0.46851343435276865</v>
      </c>
      <c r="W19" s="92">
        <f t="shared" si="3"/>
        <v>3.9527132394651239</v>
      </c>
      <c r="X19" s="92">
        <f t="shared" si="4"/>
        <v>-3.114731940497828E-3</v>
      </c>
      <c r="Y19" s="92">
        <f t="shared" si="4"/>
        <v>2.6308455180207413E-2</v>
      </c>
      <c r="Z19" s="40">
        <f t="shared" si="6"/>
        <v>5.6505854780827564E-4</v>
      </c>
      <c r="AA19" s="97">
        <f t="shared" si="7"/>
        <v>9.7305476575361004E-4</v>
      </c>
      <c r="AD19" s="40">
        <v>-3.2168760854903007</v>
      </c>
      <c r="AE19" s="50">
        <v>0.72304608781886881</v>
      </c>
      <c r="AF19" s="50">
        <v>0.90008926124107125</v>
      </c>
      <c r="AG19" s="50">
        <v>-28.36705486834321</v>
      </c>
      <c r="AH19" s="41">
        <v>83.807174549918429</v>
      </c>
    </row>
    <row r="20" spans="2:34">
      <c r="B20" s="83">
        <f>'Ex8'!J19</f>
        <v>-1.1488804092302796E-2</v>
      </c>
      <c r="C20" s="87">
        <v>1</v>
      </c>
      <c r="D20" s="83">
        <f>'Ex8'!H19</f>
        <v>-0.43799879586464197</v>
      </c>
      <c r="E20" s="83">
        <f>'Ex8'!I19</f>
        <v>3.9191426429409315</v>
      </c>
      <c r="F20" s="90">
        <f>'Ex8'!M19</f>
        <v>-3.0607954812909677E-2</v>
      </c>
      <c r="G20" s="90">
        <f>'Ex8'!N19</f>
        <v>-3.114731940497828E-3</v>
      </c>
      <c r="H20" s="40">
        <f t="shared" si="0"/>
        <v>2.145774209318463E-6</v>
      </c>
      <c r="I20" s="97">
        <f t="shared" si="1"/>
        <v>1.3199261947044986E-4</v>
      </c>
      <c r="J20" s="90"/>
      <c r="Q20" s="90"/>
      <c r="R20" s="90"/>
      <c r="T20" s="92">
        <f t="shared" si="5"/>
        <v>-1.1488804092302796E-2</v>
      </c>
      <c r="U20" s="93">
        <f>'Ex8'!G17</f>
        <v>1</v>
      </c>
      <c r="V20" s="92">
        <f t="shared" si="2"/>
        <v>-0.43799879586464197</v>
      </c>
      <c r="W20" s="92">
        <f t="shared" si="3"/>
        <v>3.9191426429409315</v>
      </c>
      <c r="X20" s="92">
        <f t="shared" si="4"/>
        <v>-3.0607954812909677E-2</v>
      </c>
      <c r="Y20" s="92">
        <f t="shared" si="4"/>
        <v>-3.114731940497828E-3</v>
      </c>
      <c r="Z20" s="40">
        <f t="shared" si="6"/>
        <v>1.3966569188629278E-7</v>
      </c>
      <c r="AA20" s="97">
        <f t="shared" si="7"/>
        <v>1.4579777738760036E-4</v>
      </c>
    </row>
    <row r="21" spans="2:34">
      <c r="B21" s="83">
        <f>'Ex8'!J20</f>
        <v>-1.7884273119566529E-2</v>
      </c>
      <c r="C21" s="87">
        <v>1</v>
      </c>
      <c r="D21" s="83">
        <f>'Ex8'!H20</f>
        <v>-0.43812117076587581</v>
      </c>
      <c r="E21" s="83">
        <f>'Ex8'!I20</f>
        <v>3.9444545470771537</v>
      </c>
      <c r="F21" s="90">
        <f>'Ex8'!M20</f>
        <v>-1.1488804092302796E-2</v>
      </c>
      <c r="G21" s="90">
        <f>'Ex8'!N20</f>
        <v>-3.0607954812909677E-2</v>
      </c>
      <c r="H21" s="40">
        <f t="shared" si="0"/>
        <v>4.0772834229216873E-4</v>
      </c>
      <c r="I21" s="97">
        <f t="shared" si="1"/>
        <v>3.1984722501390557E-4</v>
      </c>
      <c r="J21" s="90"/>
      <c r="L21" s="42">
        <f t="array" ref="L21:L25">MMULT(TRANSPOSE(C7:G46),B7:B46)</f>
        <v>-1.5033529976449245E-12</v>
      </c>
      <c r="Q21" s="90"/>
      <c r="R21" s="90"/>
      <c r="T21" s="92">
        <f t="shared" si="5"/>
        <v>-1.7884273119566529E-2</v>
      </c>
      <c r="U21" s="93">
        <f>'Ex8'!G18</f>
        <v>1</v>
      </c>
      <c r="V21" s="92">
        <f t="shared" si="2"/>
        <v>-0.43812117076587581</v>
      </c>
      <c r="W21" s="92">
        <f t="shared" si="3"/>
        <v>3.9444545470771537</v>
      </c>
      <c r="X21" s="92">
        <f t="shared" si="4"/>
        <v>-1.1488804092302796E-2</v>
      </c>
      <c r="Y21" s="92">
        <f t="shared" si="4"/>
        <v>-3.0607954812909677E-2</v>
      </c>
      <c r="Z21" s="40">
        <f t="shared" si="6"/>
        <v>4.385239029710983E-4</v>
      </c>
      <c r="AA21" s="97">
        <f t="shared" si="7"/>
        <v>3.4114622196643733E-4</v>
      </c>
      <c r="AD21" s="42">
        <f t="array" ref="AD21:AD25">MMULT(TRANSPOSE(U9:Y46),T9:T46)</f>
        <v>2.226309611634969E-2</v>
      </c>
    </row>
    <row r="22" spans="2:34">
      <c r="B22" s="83">
        <f>'Ex8'!J21</f>
        <v>-2.2365304031817246E-2</v>
      </c>
      <c r="C22" s="87">
        <v>1</v>
      </c>
      <c r="D22" s="83">
        <f>'Ex8'!H21</f>
        <v>-0.42968123454601348</v>
      </c>
      <c r="E22" s="83">
        <f>'Ex8'!I21</f>
        <v>4.0487519446289095</v>
      </c>
      <c r="F22" s="90">
        <f>'Ex8'!M21</f>
        <v>-1.7884273119566529E-2</v>
      </c>
      <c r="G22" s="90">
        <f>'Ex8'!N21</f>
        <v>-1.1488804092302796E-2</v>
      </c>
      <c r="H22" s="40">
        <f t="shared" si="0"/>
        <v>3.170917044571193E-4</v>
      </c>
      <c r="I22" s="97">
        <f t="shared" si="1"/>
        <v>5.0020682443393952E-4</v>
      </c>
      <c r="J22" s="90"/>
      <c r="L22" s="42">
        <v>6.4513758918360864E-13</v>
      </c>
      <c r="N22" t="s">
        <v>207</v>
      </c>
      <c r="O22" s="92">
        <f>AVERAGE(B7:B46)</f>
        <v>-3.7583824941123109E-14</v>
      </c>
      <c r="Q22" s="90"/>
      <c r="R22" s="90"/>
      <c r="T22" s="92">
        <f t="shared" si="5"/>
        <v>-2.2365304031817246E-2</v>
      </c>
      <c r="U22" s="93">
        <f>'Ex8'!G19</f>
        <v>1</v>
      </c>
      <c r="V22" s="92">
        <f t="shared" si="2"/>
        <v>-0.42968123454601348</v>
      </c>
      <c r="W22" s="92">
        <f t="shared" si="3"/>
        <v>4.0487519446289095</v>
      </c>
      <c r="X22" s="92">
        <f t="shared" si="4"/>
        <v>-1.7884273119566529E-2</v>
      </c>
      <c r="Y22" s="92">
        <f t="shared" si="4"/>
        <v>-1.1488804092302796E-2</v>
      </c>
      <c r="Z22" s="40">
        <f t="shared" si="6"/>
        <v>3.163901401396881E-4</v>
      </c>
      <c r="AA22" s="97">
        <f t="shared" si="7"/>
        <v>5.267564330657435E-4</v>
      </c>
      <c r="AD22" s="42">
        <v>-1.2776502295097475E-2</v>
      </c>
      <c r="AF22" t="s">
        <v>207</v>
      </c>
      <c r="AG22" s="92">
        <f>AVERAGE(T9:T46)</f>
        <v>5.8587095043025495E-4</v>
      </c>
    </row>
    <row r="23" spans="2:34" ht="17.25">
      <c r="B23" s="83">
        <f>'Ex8'!J22</f>
        <v>1.8524047637607954E-2</v>
      </c>
      <c r="C23" s="87">
        <v>1</v>
      </c>
      <c r="D23" s="83">
        <f>'Ex8'!H22</f>
        <v>-0.41685236278421517</v>
      </c>
      <c r="E23" s="83">
        <f>'Ex8'!I22</f>
        <v>4.0050913558031294</v>
      </c>
      <c r="F23" s="90">
        <f>'Ex8'!M22</f>
        <v>-2.2365304031817246E-2</v>
      </c>
      <c r="G23" s="90">
        <f>'Ex8'!N22</f>
        <v>-1.7884273119566529E-2</v>
      </c>
      <c r="H23" s="40">
        <f t="shared" si="0"/>
        <v>5.7199245287417177E-4</v>
      </c>
      <c r="I23" s="97">
        <f t="shared" si="1"/>
        <v>3.4314034088176127E-4</v>
      </c>
      <c r="J23" s="90"/>
      <c r="K23" s="38" t="s">
        <v>95</v>
      </c>
      <c r="L23" s="42">
        <v>-5.8498882821167442E-12</v>
      </c>
      <c r="N23" s="38" t="s">
        <v>156</v>
      </c>
      <c r="O23">
        <f>1-H47/I47</f>
        <v>0.17963938270535396</v>
      </c>
      <c r="Q23" s="90"/>
      <c r="R23" s="90"/>
      <c r="T23" s="92">
        <f t="shared" si="5"/>
        <v>1.8524047637607954E-2</v>
      </c>
      <c r="U23" s="93">
        <f>'Ex8'!G20</f>
        <v>1</v>
      </c>
      <c r="V23" s="92">
        <f t="shared" si="2"/>
        <v>-0.41685236278421517</v>
      </c>
      <c r="W23" s="92">
        <f t="shared" si="3"/>
        <v>4.0050913558031294</v>
      </c>
      <c r="X23" s="92">
        <f t="shared" si="4"/>
        <v>-2.2365304031817246E-2</v>
      </c>
      <c r="Y23" s="92">
        <f t="shared" si="4"/>
        <v>-1.7884273119566529E-2</v>
      </c>
      <c r="Z23" s="40">
        <f t="shared" si="6"/>
        <v>5.5609263520795611E-4</v>
      </c>
      <c r="AA23" s="97">
        <f t="shared" si="7"/>
        <v>3.2177818286040552E-4</v>
      </c>
      <c r="AC23" s="38" t="s">
        <v>95</v>
      </c>
      <c r="AD23" s="42">
        <v>7.8730294173208967E-2</v>
      </c>
      <c r="AF23" s="38" t="s">
        <v>156</v>
      </c>
      <c r="AG23">
        <f>1-Z47/AA47</f>
        <v>0.17712119332559817</v>
      </c>
    </row>
    <row r="24" spans="2:34">
      <c r="B24" s="83">
        <f>'Ex8'!J23</f>
        <v>1.5177203896542646E-2</v>
      </c>
      <c r="C24" s="87">
        <v>1</v>
      </c>
      <c r="D24" s="83">
        <f>'Ex8'!H23</f>
        <v>-0.41970777511157248</v>
      </c>
      <c r="E24" s="83">
        <f>'Ex8'!I23</f>
        <v>3.9913097727672096</v>
      </c>
      <c r="F24" s="90">
        <f>'Ex8'!M23</f>
        <v>1.8524047637607954E-2</v>
      </c>
      <c r="G24" s="90">
        <f>'Ex8'!N23</f>
        <v>-2.2365304031817246E-2</v>
      </c>
      <c r="H24" s="40">
        <f t="shared" si="0"/>
        <v>1.5879723393456801E-6</v>
      </c>
      <c r="I24" s="97">
        <f t="shared" si="1"/>
        <v>2.3034751811837014E-4</v>
      </c>
      <c r="J24" s="90"/>
      <c r="L24" s="42">
        <v>4.9547622444386452E-3</v>
      </c>
      <c r="N24" s="39" t="s">
        <v>114</v>
      </c>
      <c r="O24">
        <f>(H47/(40-5))^0.5</f>
        <v>1.8032336098917631E-2</v>
      </c>
      <c r="Q24" s="90"/>
      <c r="R24" s="90"/>
      <c r="T24" s="92">
        <f t="shared" si="5"/>
        <v>1.5177203896542646E-2</v>
      </c>
      <c r="U24" s="93">
        <f>'Ex8'!G21</f>
        <v>1</v>
      </c>
      <c r="V24" s="92">
        <f t="shared" si="2"/>
        <v>-0.41970777511157248</v>
      </c>
      <c r="W24" s="92">
        <f t="shared" si="3"/>
        <v>3.9913097727672096</v>
      </c>
      <c r="X24" s="92">
        <f t="shared" si="4"/>
        <v>1.8524047637607954E-2</v>
      </c>
      <c r="Y24" s="92">
        <f t="shared" si="4"/>
        <v>-2.2365304031817246E-2</v>
      </c>
      <c r="Z24" s="40">
        <f t="shared" si="6"/>
        <v>2.0933970942392E-6</v>
      </c>
      <c r="AA24" s="97">
        <f t="shared" si="7"/>
        <v>2.1290699714430494E-4</v>
      </c>
      <c r="AD24" s="42">
        <v>4.8308510293374966E-3</v>
      </c>
    </row>
    <row r="25" spans="2:34" ht="17.25">
      <c r="B25" s="83">
        <f>'Ex8'!J24</f>
        <v>9.2465410217571486E-3</v>
      </c>
      <c r="C25" s="87">
        <v>1</v>
      </c>
      <c r="D25" s="83">
        <f>'Ex8'!H24</f>
        <v>-0.41497434320052129</v>
      </c>
      <c r="E25" s="83">
        <f>'Ex8'!I24</f>
        <v>4.0617202262539704</v>
      </c>
      <c r="F25" s="90">
        <f>'Ex8'!M24</f>
        <v>1.5177203896542646E-2</v>
      </c>
      <c r="G25" s="90">
        <f>'Ex8'!N24</f>
        <v>1.8524047637607954E-2</v>
      </c>
      <c r="H25" s="40">
        <f t="shared" si="0"/>
        <v>3.8359472775668945E-5</v>
      </c>
      <c r="I25" s="97">
        <f t="shared" si="1"/>
        <v>8.5498520867732789E-5</v>
      </c>
      <c r="J25" s="90"/>
      <c r="L25" s="42">
        <v>-1.1512776950217396E-3</v>
      </c>
      <c r="Q25" s="90"/>
      <c r="R25" s="90"/>
      <c r="T25" s="92">
        <f t="shared" si="5"/>
        <v>9.2465410217571486E-3</v>
      </c>
      <c r="U25" s="93">
        <f>'Ex8'!G22</f>
        <v>1</v>
      </c>
      <c r="V25" s="92">
        <f t="shared" si="2"/>
        <v>-0.41497434320052129</v>
      </c>
      <c r="W25" s="92">
        <f t="shared" si="3"/>
        <v>4.0617202262539704</v>
      </c>
      <c r="X25" s="92">
        <f t="shared" si="4"/>
        <v>1.5177203896542646E-2</v>
      </c>
      <c r="Y25" s="92">
        <f t="shared" si="4"/>
        <v>1.8524047637607954E-2</v>
      </c>
      <c r="Z25" s="40">
        <f t="shared" si="6"/>
        <v>4.9757707511909138E-5</v>
      </c>
      <c r="AA25" s="97">
        <f t="shared" si="7"/>
        <v>7.5007206084377396E-5</v>
      </c>
      <c r="AD25" s="42">
        <v>-1.1512776950217396E-3</v>
      </c>
      <c r="AF25" s="38" t="s">
        <v>129</v>
      </c>
      <c r="AG25">
        <f>AG23*38</f>
        <v>6.7306053463727302</v>
      </c>
      <c r="AH25" s="46" t="s">
        <v>208</v>
      </c>
    </row>
    <row r="26" spans="2:34" ht="17.25">
      <c r="B26" s="83">
        <f>'Ex8'!J25</f>
        <v>2.3093736751261473E-2</v>
      </c>
      <c r="C26" s="87">
        <v>1</v>
      </c>
      <c r="D26" s="83">
        <f>'Ex8'!H25</f>
        <v>-0.41078271847126591</v>
      </c>
      <c r="E26" s="83">
        <f>'Ex8'!I25</f>
        <v>4.0442104254875826</v>
      </c>
      <c r="F26" s="90">
        <f>'Ex8'!M25</f>
        <v>9.2465410217571486E-3</v>
      </c>
      <c r="G26" s="90">
        <f>'Ex8'!N25</f>
        <v>1.5177203896542646E-2</v>
      </c>
      <c r="H26" s="40">
        <f t="shared" si="0"/>
        <v>4.8540321872647354E-4</v>
      </c>
      <c r="I26" s="97">
        <f t="shared" si="1"/>
        <v>5.3332067713830072E-4</v>
      </c>
      <c r="J26" s="90"/>
      <c r="N26" s="38" t="s">
        <v>129</v>
      </c>
      <c r="O26">
        <f>O23*40</f>
        <v>7.1855753082141582</v>
      </c>
      <c r="P26" s="46" t="s">
        <v>208</v>
      </c>
      <c r="Q26" s="90"/>
      <c r="R26" s="90"/>
      <c r="T26" s="92">
        <f t="shared" si="5"/>
        <v>2.3093736751261473E-2</v>
      </c>
      <c r="U26" s="93">
        <f>'Ex8'!G23</f>
        <v>1</v>
      </c>
      <c r="V26" s="92">
        <f t="shared" si="2"/>
        <v>-0.41078271847126591</v>
      </c>
      <c r="W26" s="92">
        <f t="shared" si="3"/>
        <v>4.0442104254875826</v>
      </c>
      <c r="X26" s="92">
        <f t="shared" si="4"/>
        <v>9.2465410217571486E-3</v>
      </c>
      <c r="Y26" s="92">
        <f t="shared" si="4"/>
        <v>1.5177203896542646E-2</v>
      </c>
      <c r="Z26" s="40">
        <f t="shared" si="6"/>
        <v>5.1418626626843669E-4</v>
      </c>
      <c r="AA26" s="97">
        <f t="shared" si="7"/>
        <v>5.0660402290822763E-4</v>
      </c>
    </row>
    <row r="27" spans="2:34">
      <c r="B27" s="83">
        <f>'Ex8'!J26</f>
        <v>3.732179789634027E-2</v>
      </c>
      <c r="C27" s="87">
        <v>1</v>
      </c>
      <c r="D27" s="83">
        <f>'Ex8'!H26</f>
        <v>-0.42155562514121248</v>
      </c>
      <c r="E27" s="83">
        <f>'Ex8'!I26</f>
        <v>3.8812716949908146</v>
      </c>
      <c r="F27" s="90">
        <f>'Ex8'!M26</f>
        <v>2.3093736751261473E-2</v>
      </c>
      <c r="G27" s="90">
        <f>'Ex8'!N26</f>
        <v>9.2465410217571486E-3</v>
      </c>
      <c r="H27" s="40">
        <f t="shared" si="0"/>
        <v>8.7210696247838875E-4</v>
      </c>
      <c r="I27" s="97">
        <f t="shared" si="1"/>
        <v>1.3929165982180742E-3</v>
      </c>
      <c r="J27" s="90"/>
      <c r="L27" s="94">
        <f t="array" ref="L27:L31">MMULT(L15:P19,L21:L25)</f>
        <v>-2.6397198353166652E-2</v>
      </c>
      <c r="M27" s="50"/>
      <c r="N27" s="61"/>
      <c r="O27" s="50"/>
      <c r="Q27" s="90"/>
      <c r="R27" s="90"/>
      <c r="T27" s="92">
        <f t="shared" si="5"/>
        <v>3.732179789634027E-2</v>
      </c>
      <c r="U27" s="93">
        <f>'Ex8'!G24</f>
        <v>1</v>
      </c>
      <c r="V27" s="92">
        <f t="shared" si="2"/>
        <v>-0.42155562514121248</v>
      </c>
      <c r="W27" s="92">
        <f t="shared" si="3"/>
        <v>3.8812716949908146</v>
      </c>
      <c r="X27" s="92">
        <f t="shared" si="4"/>
        <v>2.3093736751261473E-2</v>
      </c>
      <c r="Y27" s="92">
        <f t="shared" si="4"/>
        <v>9.2465410217571486E-3</v>
      </c>
      <c r="Z27" s="40">
        <f t="shared" si="6"/>
        <v>8.5091121608504958E-4</v>
      </c>
      <c r="AA27" s="97">
        <f t="shared" si="7"/>
        <v>1.3495283285752373E-3</v>
      </c>
      <c r="AD27" s="94">
        <f t="array" ref="AD27:AD31">MMULT(AD15:AH19,AD21:AD25)</f>
        <v>-1.7577166256593649E-4</v>
      </c>
      <c r="AE27" s="50"/>
      <c r="AF27" s="61"/>
      <c r="AG27" s="50"/>
    </row>
    <row r="28" spans="2:34">
      <c r="B28" s="83">
        <f>'Ex8'!J27</f>
        <v>1.5163375916502631E-3</v>
      </c>
      <c r="C28" s="87">
        <v>1</v>
      </c>
      <c r="D28" s="83">
        <f>'Ex8'!H27</f>
        <v>-0.44188788327530998</v>
      </c>
      <c r="E28" s="83">
        <f>'Ex8'!I27</f>
        <v>3.8249064427366819</v>
      </c>
      <c r="F28" s="90">
        <f>'Ex8'!M27</f>
        <v>3.732179789634027E-2</v>
      </c>
      <c r="G28" s="90">
        <f>'Ex8'!N27</f>
        <v>2.3093736751261473E-2</v>
      </c>
      <c r="H28" s="40">
        <f t="shared" si="0"/>
        <v>8.3885319990308055E-5</v>
      </c>
      <c r="I28" s="97">
        <f t="shared" si="1"/>
        <v>2.2992796919656996E-6</v>
      </c>
      <c r="J28" s="90"/>
      <c r="L28" s="94">
        <v>-7.4026276395339962E-3</v>
      </c>
      <c r="M28" s="50"/>
      <c r="N28" s="99" t="s">
        <v>214</v>
      </c>
      <c r="O28" s="50">
        <f>(I47-H47)/(2*O24^2)</f>
        <v>3.8320820515626788</v>
      </c>
      <c r="Q28" s="90"/>
      <c r="R28" s="90"/>
      <c r="T28" s="92">
        <f t="shared" si="5"/>
        <v>1.5163375916502631E-3</v>
      </c>
      <c r="U28" s="93">
        <f>'Ex8'!G25</f>
        <v>1</v>
      </c>
      <c r="V28" s="92">
        <f t="shared" si="2"/>
        <v>-0.44188788327530998</v>
      </c>
      <c r="W28" s="92">
        <f t="shared" si="3"/>
        <v>3.8249064427366819</v>
      </c>
      <c r="X28" s="92">
        <f t="shared" si="4"/>
        <v>3.732179789634027E-2</v>
      </c>
      <c r="Y28" s="92">
        <f t="shared" si="4"/>
        <v>2.3093736751261473E-2</v>
      </c>
      <c r="Z28" s="40">
        <f t="shared" si="6"/>
        <v>9.4273496533115551E-5</v>
      </c>
      <c r="AA28" s="97">
        <f t="shared" si="7"/>
        <v>8.6576817042324329E-7</v>
      </c>
      <c r="AD28" s="94">
        <v>-1.1894637416954798E-2</v>
      </c>
      <c r="AE28" s="50"/>
      <c r="AF28" s="50"/>
      <c r="AG28" s="50"/>
    </row>
    <row r="29" spans="2:34">
      <c r="B29" s="83">
        <f>'Ex8'!J28</f>
        <v>-5.1532764800452657E-3</v>
      </c>
      <c r="C29" s="87">
        <v>1</v>
      </c>
      <c r="D29" s="83">
        <f>'Ex8'!H28</f>
        <v>-0.44474126164121053</v>
      </c>
      <c r="E29" s="83">
        <f>'Ex8'!I28</f>
        <v>3.8228108312487503</v>
      </c>
      <c r="F29" s="90">
        <f>'Ex8'!M28</f>
        <v>1.5163375916502631E-3</v>
      </c>
      <c r="G29" s="90">
        <f>'Ex8'!N28</f>
        <v>3.732179789634027E-2</v>
      </c>
      <c r="H29" s="40">
        <f t="shared" si="0"/>
        <v>1.2819285638498823E-5</v>
      </c>
      <c r="I29" s="97">
        <f t="shared" si="1"/>
        <v>2.6556258479400367E-5</v>
      </c>
      <c r="J29" s="90"/>
      <c r="K29" s="39" t="s">
        <v>96</v>
      </c>
      <c r="L29" s="94">
        <v>5.9090528015855737E-3</v>
      </c>
      <c r="M29" s="50"/>
      <c r="N29" s="50"/>
      <c r="O29" s="50"/>
      <c r="Q29" s="90"/>
      <c r="R29" s="90"/>
      <c r="T29" s="92">
        <f t="shared" si="5"/>
        <v>-5.1532764800452657E-3</v>
      </c>
      <c r="U29" s="93">
        <f>'Ex8'!G26</f>
        <v>1</v>
      </c>
      <c r="V29" s="92">
        <f t="shared" si="2"/>
        <v>-0.44474126164121053</v>
      </c>
      <c r="W29" s="92">
        <f t="shared" si="3"/>
        <v>3.8228108312487503</v>
      </c>
      <c r="X29" s="92">
        <f t="shared" si="4"/>
        <v>1.5163375916502631E-3</v>
      </c>
      <c r="Y29" s="92">
        <f t="shared" si="4"/>
        <v>3.732179789634027E-2</v>
      </c>
      <c r="Z29" s="40">
        <f t="shared" si="6"/>
        <v>6.2617626270501011E-6</v>
      </c>
      <c r="AA29" s="97">
        <f t="shared" si="7"/>
        <v>3.293781322873377E-5</v>
      </c>
      <c r="AC29" s="39" t="s">
        <v>96</v>
      </c>
      <c r="AD29" s="94">
        <v>-1.1342305413041501E-3</v>
      </c>
      <c r="AE29" s="50"/>
      <c r="AF29" s="50"/>
      <c r="AG29" s="50"/>
    </row>
    <row r="30" spans="2:34">
      <c r="B30" s="83">
        <f>'Ex8'!J29</f>
        <v>3.9186232432963597E-2</v>
      </c>
      <c r="C30" s="87">
        <v>1</v>
      </c>
      <c r="D30" s="83">
        <f>'Ex8'!H29</f>
        <v>-0.4235426296272361</v>
      </c>
      <c r="E30" s="83">
        <f>'Ex8'!I29</f>
        <v>3.8540202489508606</v>
      </c>
      <c r="F30" s="90">
        <f>'Ex8'!M29</f>
        <v>-5.1532764800452657E-3</v>
      </c>
      <c r="G30" s="90">
        <f>'Ex8'!N29</f>
        <v>1.5163375916502631E-3</v>
      </c>
      <c r="H30" s="40">
        <f t="shared" si="0"/>
        <v>1.7928861180930373E-3</v>
      </c>
      <c r="I30" s="97">
        <f t="shared" si="1"/>
        <v>1.5355608122931935E-3</v>
      </c>
      <c r="J30" s="90"/>
      <c r="L30" s="94">
        <v>0.44758598976893216</v>
      </c>
      <c r="M30" s="50"/>
      <c r="Q30" s="90"/>
      <c r="R30" s="90"/>
      <c r="T30" s="92">
        <f t="shared" si="5"/>
        <v>3.9186232432963597E-2</v>
      </c>
      <c r="U30" s="93">
        <f>'Ex8'!G27</f>
        <v>1</v>
      </c>
      <c r="V30" s="92">
        <f t="shared" si="2"/>
        <v>-0.4235426296272361</v>
      </c>
      <c r="W30" s="92">
        <f t="shared" si="3"/>
        <v>3.8540202489508606</v>
      </c>
      <c r="X30" s="92">
        <f t="shared" si="4"/>
        <v>-5.1532764800452657E-3</v>
      </c>
      <c r="Y30" s="92">
        <f t="shared" si="4"/>
        <v>1.5163375916502631E-3</v>
      </c>
      <c r="Z30" s="40">
        <f t="shared" si="6"/>
        <v>1.7047632104990346E-3</v>
      </c>
      <c r="AA30" s="97">
        <f t="shared" si="7"/>
        <v>1.4899879065822434E-3</v>
      </c>
      <c r="AD30" s="94">
        <v>0.43158246454606997</v>
      </c>
      <c r="AE30" s="50"/>
    </row>
    <row r="31" spans="2:34">
      <c r="B31" s="83">
        <f>'Ex8'!J30</f>
        <v>-2.8799536808370441E-3</v>
      </c>
      <c r="C31" s="87">
        <v>1</v>
      </c>
      <c r="D31" s="83">
        <f>'Ex8'!H30</f>
        <v>-0.40935137922564618</v>
      </c>
      <c r="E31" s="83">
        <f>'Ex8'!I30</f>
        <v>3.7207726617255878</v>
      </c>
      <c r="F31" s="90">
        <f>'Ex8'!M30</f>
        <v>3.9186232432963597E-2</v>
      </c>
      <c r="G31" s="90">
        <f>'Ex8'!N30</f>
        <v>-5.1532764800452657E-3</v>
      </c>
      <c r="H31" s="40">
        <f t="shared" si="0"/>
        <v>4.107471906235857E-4</v>
      </c>
      <c r="I31" s="97">
        <f t="shared" si="1"/>
        <v>8.2941332035503599E-6</v>
      </c>
      <c r="J31" s="90"/>
      <c r="L31" s="94">
        <v>-0.23837591160569796</v>
      </c>
      <c r="M31" s="50"/>
      <c r="N31" s="50"/>
      <c r="O31" s="50"/>
      <c r="Q31" s="90"/>
      <c r="R31" s="90"/>
      <c r="T31" s="92">
        <f t="shared" si="5"/>
        <v>-2.8799536808370441E-3</v>
      </c>
      <c r="U31" s="93">
        <f>'Ex8'!G28</f>
        <v>1</v>
      </c>
      <c r="V31" s="92">
        <f t="shared" si="2"/>
        <v>-0.40935137922564618</v>
      </c>
      <c r="W31" s="92">
        <f t="shared" si="3"/>
        <v>3.7207726617255878</v>
      </c>
      <c r="X31" s="92">
        <f t="shared" si="4"/>
        <v>3.9186232432963597E-2</v>
      </c>
      <c r="Y31" s="92">
        <f t="shared" si="4"/>
        <v>-5.1532764800452657E-3</v>
      </c>
      <c r="Z31" s="40">
        <f t="shared" si="6"/>
        <v>4.631120497038708E-4</v>
      </c>
      <c r="AA31" s="97">
        <f t="shared" si="7"/>
        <v>1.2011940374699109E-5</v>
      </c>
      <c r="AD31" s="94">
        <v>-0.24351367611860419</v>
      </c>
      <c r="AE31" s="50"/>
      <c r="AF31" s="50"/>
      <c r="AG31" s="50"/>
    </row>
    <row r="32" spans="2:34">
      <c r="B32" s="83">
        <f>'Ex8'!J31</f>
        <v>-2.5759543724405365E-2</v>
      </c>
      <c r="C32" s="87">
        <v>1</v>
      </c>
      <c r="D32" s="83">
        <f>'Ex8'!H31</f>
        <v>-0.40626256959110862</v>
      </c>
      <c r="E32" s="83">
        <f>'Ex8'!I31</f>
        <v>3.7824119026983052</v>
      </c>
      <c r="F32" s="90">
        <f>'Ex8'!M31</f>
        <v>-2.8799536808370441E-3</v>
      </c>
      <c r="G32" s="90">
        <f>'Ex8'!N31</f>
        <v>3.9186232432963597E-2</v>
      </c>
      <c r="H32" s="40">
        <f t="shared" si="0"/>
        <v>1.9853223546092286E-4</v>
      </c>
      <c r="I32" s="97">
        <f t="shared" si="1"/>
        <v>6.6355409288761547E-4</v>
      </c>
      <c r="J32" s="90"/>
      <c r="K32" s="90"/>
      <c r="L32" s="90"/>
      <c r="M32" s="90"/>
      <c r="N32" s="90"/>
      <c r="O32" s="90"/>
      <c r="P32" s="90"/>
      <c r="Q32" s="90"/>
      <c r="R32" s="90"/>
      <c r="T32" s="92">
        <f t="shared" si="5"/>
        <v>-2.5759543724405365E-2</v>
      </c>
      <c r="U32" s="93">
        <f>'Ex8'!G29</f>
        <v>1</v>
      </c>
      <c r="V32" s="92">
        <f t="shared" si="2"/>
        <v>-0.40626256959110862</v>
      </c>
      <c r="W32" s="92">
        <f t="shared" si="3"/>
        <v>3.7824119026983052</v>
      </c>
      <c r="X32" s="92">
        <f t="shared" si="4"/>
        <v>-2.8799536808370441E-3</v>
      </c>
      <c r="Y32" s="92">
        <f t="shared" si="4"/>
        <v>3.9186232432963597E-2</v>
      </c>
      <c r="Z32" s="40">
        <f t="shared" si="6"/>
        <v>2.3533615307373221E-4</v>
      </c>
      <c r="AA32" s="97">
        <f t="shared" si="7"/>
        <v>6.9408087438904394E-4</v>
      </c>
    </row>
    <row r="33" spans="2:27">
      <c r="B33" s="83">
        <f>'Ex8'!J32</f>
        <v>-1.6978856834953704E-2</v>
      </c>
      <c r="C33" s="87">
        <v>1</v>
      </c>
      <c r="D33" s="83">
        <f>'Ex8'!H32</f>
        <v>-0.39679462893280104</v>
      </c>
      <c r="E33" s="83">
        <f>'Ex8'!I32</f>
        <v>3.8487452964828526</v>
      </c>
      <c r="F33" s="90">
        <f>'Ex8'!M32</f>
        <v>-2.5759543724405365E-2</v>
      </c>
      <c r="G33" s="90">
        <f>'Ex8'!N32</f>
        <v>-2.8799536808370441E-3</v>
      </c>
      <c r="H33" s="40">
        <f t="shared" si="0"/>
        <v>2.9358205234116447E-5</v>
      </c>
      <c r="I33" s="97">
        <f t="shared" si="1"/>
        <v>2.882815794205778E-4</v>
      </c>
      <c r="J33" s="90"/>
      <c r="K33" s="90"/>
      <c r="L33" s="90"/>
      <c r="M33" s="90"/>
      <c r="N33" s="90"/>
      <c r="O33" s="90"/>
      <c r="P33" s="90"/>
      <c r="Q33" s="90"/>
      <c r="R33" s="90"/>
      <c r="T33" s="92">
        <f t="shared" si="5"/>
        <v>-1.6978856834953704E-2</v>
      </c>
      <c r="U33" s="93">
        <f>'Ex8'!G30</f>
        <v>1</v>
      </c>
      <c r="V33" s="92">
        <f t="shared" si="2"/>
        <v>-0.39679462893280104</v>
      </c>
      <c r="W33" s="92">
        <f t="shared" si="3"/>
        <v>3.8487452964828526</v>
      </c>
      <c r="X33" s="92">
        <f t="shared" si="4"/>
        <v>-2.5759543724405365E-2</v>
      </c>
      <c r="Y33" s="92">
        <f t="shared" si="4"/>
        <v>-2.8799536808370441E-3</v>
      </c>
      <c r="Z33" s="40">
        <f t="shared" si="6"/>
        <v>4.5446334996632517E-5</v>
      </c>
      <c r="AA33" s="97">
        <f t="shared" si="7"/>
        <v>3.0851966217463922E-4</v>
      </c>
    </row>
    <row r="34" spans="2:27">
      <c r="B34" s="83">
        <f>'Ex8'!J33</f>
        <v>-8.135941460893692E-3</v>
      </c>
      <c r="C34" s="87">
        <v>1</v>
      </c>
      <c r="D34" s="83">
        <f>'Ex8'!H33</f>
        <v>-0.38741772721069739</v>
      </c>
      <c r="E34" s="83">
        <f>'Ex8'!I33</f>
        <v>3.9108712816761431</v>
      </c>
      <c r="F34" s="90">
        <f>'Ex8'!M33</f>
        <v>-1.6978856834953704E-2</v>
      </c>
      <c r="G34" s="90">
        <f>'Ex8'!N33</f>
        <v>-2.5759543724405365E-2</v>
      </c>
      <c r="H34" s="40">
        <f t="shared" si="0"/>
        <v>3.9151969460603854E-5</v>
      </c>
      <c r="I34" s="97">
        <f t="shared" si="1"/>
        <v>6.6193543454477418E-5</v>
      </c>
      <c r="J34" s="90"/>
      <c r="K34" s="90"/>
      <c r="L34" s="90"/>
      <c r="M34" s="90"/>
      <c r="N34" s="90"/>
      <c r="O34" s="90"/>
      <c r="P34" s="90"/>
      <c r="Q34" s="90"/>
      <c r="R34" s="90"/>
      <c r="T34" s="92">
        <f t="shared" si="5"/>
        <v>-8.135941460893692E-3</v>
      </c>
      <c r="U34" s="93">
        <f>'Ex8'!G31</f>
        <v>1</v>
      </c>
      <c r="V34" s="92">
        <f t="shared" si="2"/>
        <v>-0.38741772721069739</v>
      </c>
      <c r="W34" s="92">
        <f t="shared" si="3"/>
        <v>3.9108712816761431</v>
      </c>
      <c r="X34" s="92">
        <f t="shared" si="4"/>
        <v>-1.6978856834953704E-2</v>
      </c>
      <c r="Y34" s="92">
        <f t="shared" si="4"/>
        <v>-2.5759543724405365E-2</v>
      </c>
      <c r="Z34" s="40">
        <f t="shared" si="6"/>
        <v>5.0091825135341454E-5</v>
      </c>
      <c r="AA34" s="97">
        <f t="shared" si="7"/>
        <v>7.6070011738324432E-5</v>
      </c>
    </row>
    <row r="35" spans="2:27">
      <c r="B35" s="83">
        <f>'Ex8'!J34</f>
        <v>1.0088016412601708E-2</v>
      </c>
      <c r="C35" s="87">
        <v>1</v>
      </c>
      <c r="D35" s="83">
        <f>'Ex8'!H34</f>
        <v>-0.3802932312258468</v>
      </c>
      <c r="E35" s="83">
        <f>'Ex8'!I34</f>
        <v>3.9084015568668096</v>
      </c>
      <c r="F35" s="90">
        <f>'Ex8'!M34</f>
        <v>-8.135941460893692E-3</v>
      </c>
      <c r="G35" s="90">
        <f>'Ex8'!N34</f>
        <v>-1.6978856834953704E-2</v>
      </c>
      <c r="H35" s="40">
        <f t="shared" si="0"/>
        <v>1.0341420176558576E-4</v>
      </c>
      <c r="I35" s="97">
        <f t="shared" si="1"/>
        <v>1.0176807514167974E-4</v>
      </c>
      <c r="J35" s="90"/>
      <c r="K35" s="90"/>
      <c r="L35" s="90"/>
      <c r="M35" s="90"/>
      <c r="N35" s="90"/>
      <c r="O35" s="90"/>
      <c r="P35" s="90"/>
      <c r="Q35" s="90"/>
      <c r="R35" s="90"/>
      <c r="T35" s="92">
        <f t="shared" si="5"/>
        <v>1.0088016412601708E-2</v>
      </c>
      <c r="U35" s="93">
        <f>'Ex8'!G32</f>
        <v>1</v>
      </c>
      <c r="V35" s="92">
        <f t="shared" si="2"/>
        <v>-0.3802932312258468</v>
      </c>
      <c r="W35" s="92">
        <f t="shared" si="3"/>
        <v>3.9084015568668096</v>
      </c>
      <c r="X35" s="92">
        <f t="shared" si="4"/>
        <v>-8.135941460893692E-3</v>
      </c>
      <c r="Y35" s="92">
        <f t="shared" si="4"/>
        <v>-1.6978856834953704E-2</v>
      </c>
      <c r="Z35" s="40">
        <f t="shared" si="6"/>
        <v>9.1204643300317736E-5</v>
      </c>
      <c r="AA35" s="97">
        <f t="shared" si="7"/>
        <v>9.0290768384265548E-5</v>
      </c>
    </row>
    <row r="36" spans="2:27">
      <c r="B36" s="83">
        <f>'Ex8'!J35</f>
        <v>1.2607698614253149E-3</v>
      </c>
      <c r="C36" s="87">
        <v>1</v>
      </c>
      <c r="D36" s="83">
        <f>'Ex8'!H35</f>
        <v>-0.37727179682011736</v>
      </c>
      <c r="E36" s="83">
        <f>'Ex8'!I35</f>
        <v>3.9756638430226334</v>
      </c>
      <c r="F36" s="90">
        <f>'Ex8'!M35</f>
        <v>1.0088016412601708E-2</v>
      </c>
      <c r="G36" s="90">
        <f>'Ex8'!N35</f>
        <v>-8.135941460893692E-3</v>
      </c>
      <c r="H36" s="40">
        <f t="shared" si="0"/>
        <v>2.5825801719671093E-5</v>
      </c>
      <c r="I36" s="97">
        <f t="shared" si="1"/>
        <v>1.589540643573177E-6</v>
      </c>
      <c r="J36" s="90"/>
      <c r="K36" s="90"/>
      <c r="L36" s="90"/>
      <c r="M36" s="90"/>
      <c r="N36" s="90"/>
      <c r="O36" s="90"/>
      <c r="P36" s="90"/>
      <c r="Q36" s="90"/>
      <c r="R36" s="90"/>
      <c r="T36" s="92">
        <f t="shared" si="5"/>
        <v>1.2607698614253149E-3</v>
      </c>
      <c r="U36" s="93">
        <f>'Ex8'!G33</f>
        <v>1</v>
      </c>
      <c r="V36" s="92">
        <f t="shared" si="2"/>
        <v>-0.37727179682011736</v>
      </c>
      <c r="W36" s="92">
        <f t="shared" si="3"/>
        <v>3.9756638430226334</v>
      </c>
      <c r="X36" s="92">
        <f t="shared" si="4"/>
        <v>1.0088016412601708E-2</v>
      </c>
      <c r="Y36" s="92">
        <f t="shared" si="4"/>
        <v>-8.135941460893692E-3</v>
      </c>
      <c r="Z36" s="40">
        <f t="shared" si="6"/>
        <v>2.3781952751762445E-5</v>
      </c>
      <c r="AA36" s="97">
        <f t="shared" si="7"/>
        <v>4.5548854006231781E-7</v>
      </c>
    </row>
    <row r="37" spans="2:27">
      <c r="B37" s="83">
        <f>'Ex8'!J36</f>
        <v>-9.5129591522198353E-3</v>
      </c>
      <c r="C37" s="87">
        <v>1</v>
      </c>
      <c r="D37" s="83">
        <f>'Ex8'!H36</f>
        <v>-0.37607790848969336</v>
      </c>
      <c r="E37" s="83">
        <f>'Ex8'!I36</f>
        <v>4.0324344841081308</v>
      </c>
      <c r="F37" s="90">
        <f>'Ex8'!M36</f>
        <v>1.2607698614253149E-3</v>
      </c>
      <c r="G37" s="90">
        <f>'Ex8'!N36</f>
        <v>1.0088016412601708E-2</v>
      </c>
      <c r="H37" s="40">
        <f t="shared" si="0"/>
        <v>6.2207239583685406E-5</v>
      </c>
      <c r="I37" s="97">
        <f t="shared" si="1"/>
        <v>9.0496391831088052E-5</v>
      </c>
      <c r="J37" s="90"/>
      <c r="K37" s="90"/>
      <c r="L37" s="90"/>
      <c r="M37" s="90"/>
      <c r="N37" s="90"/>
      <c r="O37" s="90"/>
      <c r="P37" s="90"/>
      <c r="Q37" s="90"/>
      <c r="R37" s="90"/>
      <c r="T37" s="92">
        <f t="shared" si="5"/>
        <v>-9.5129591522198353E-3</v>
      </c>
      <c r="U37" s="93">
        <f>'Ex8'!G34</f>
        <v>1</v>
      </c>
      <c r="V37" s="92">
        <f t="shared" si="2"/>
        <v>-0.37607790848969336</v>
      </c>
      <c r="W37" s="92">
        <f t="shared" si="3"/>
        <v>4.0324344841081308</v>
      </c>
      <c r="X37" s="92">
        <f t="shared" si="4"/>
        <v>1.2607698614253149E-3</v>
      </c>
      <c r="Y37" s="92">
        <f t="shared" si="4"/>
        <v>1.0088016412601708E-2</v>
      </c>
      <c r="Z37" s="40">
        <f t="shared" si="6"/>
        <v>5.3646010732761293E-5</v>
      </c>
      <c r="AA37" s="97">
        <f t="shared" si="7"/>
        <v>1.0198636944219161E-4</v>
      </c>
    </row>
    <row r="38" spans="2:27">
      <c r="B38" s="83">
        <f>'Ex8'!J37</f>
        <v>1.7116530173484357E-3</v>
      </c>
      <c r="C38" s="87">
        <v>1</v>
      </c>
      <c r="D38" s="83">
        <f>'Ex8'!H37</f>
        <v>-0.37964451370640923</v>
      </c>
      <c r="E38" s="83">
        <f>'Ex8'!I37</f>
        <v>3.9497920592131379</v>
      </c>
      <c r="F38" s="90">
        <f>'Ex8'!M37</f>
        <v>-9.5129591522198353E-3</v>
      </c>
      <c r="G38" s="90">
        <f>'Ex8'!N37</f>
        <v>1.2607698614253149E-3</v>
      </c>
      <c r="H38" s="40">
        <f t="shared" si="0"/>
        <v>4.2475967941241925E-5</v>
      </c>
      <c r="I38" s="97">
        <f t="shared" si="1"/>
        <v>2.9297560519266653E-6</v>
      </c>
      <c r="J38" s="90"/>
      <c r="K38" s="90"/>
      <c r="L38" s="90"/>
      <c r="M38" s="90"/>
      <c r="N38" s="90"/>
      <c r="O38" s="90"/>
      <c r="P38" s="90"/>
      <c r="Q38" s="90"/>
      <c r="R38" s="90"/>
      <c r="T38" s="92">
        <f t="shared" si="5"/>
        <v>1.7116530173484357E-3</v>
      </c>
      <c r="U38" s="93">
        <f>'Ex8'!G35</f>
        <v>1</v>
      </c>
      <c r="V38" s="92">
        <f t="shared" si="2"/>
        <v>-0.37964451370640923</v>
      </c>
      <c r="W38" s="92">
        <f t="shared" si="3"/>
        <v>3.9497920592131379</v>
      </c>
      <c r="X38" s="92">
        <f t="shared" si="4"/>
        <v>-9.5129591522198353E-3</v>
      </c>
      <c r="Y38" s="92">
        <f t="shared" si="4"/>
        <v>1.2607698614253149E-3</v>
      </c>
      <c r="Z38" s="40">
        <f t="shared" si="6"/>
        <v>3.9241538270509456E-5</v>
      </c>
      <c r="AA38" s="97">
        <f t="shared" si="7"/>
        <v>1.2673852621945711E-6</v>
      </c>
    </row>
    <row r="39" spans="2:27">
      <c r="B39" s="83">
        <f>'Ex8'!J38</f>
        <v>-1.6480575597000002E-2</v>
      </c>
      <c r="C39" s="87">
        <v>1</v>
      </c>
      <c r="D39" s="83">
        <f>'Ex8'!H38</f>
        <v>-0.38092204812332631</v>
      </c>
      <c r="E39" s="83">
        <f>'Ex8'!I38</f>
        <v>4.0123790223401929</v>
      </c>
      <c r="F39" s="90">
        <f>'Ex8'!M38</f>
        <v>1.7116530173484357E-3</v>
      </c>
      <c r="G39" s="90">
        <f>'Ex8'!N38</f>
        <v>-9.5129591522198353E-3</v>
      </c>
      <c r="H39" s="40">
        <f t="shared" si="0"/>
        <v>3.859784022584983E-4</v>
      </c>
      <c r="I39" s="97">
        <f t="shared" si="1"/>
        <v>2.7160937200719314E-4</v>
      </c>
      <c r="J39" s="90"/>
      <c r="K39" s="90"/>
      <c r="L39" s="90"/>
      <c r="M39" s="90"/>
      <c r="N39" s="90"/>
      <c r="O39" s="90"/>
      <c r="P39" s="90"/>
      <c r="Q39" s="90"/>
      <c r="R39" s="90"/>
      <c r="T39" s="92">
        <f t="shared" si="5"/>
        <v>-1.6480575597000002E-2</v>
      </c>
      <c r="U39" s="93">
        <f>'Ex8'!G36</f>
        <v>1</v>
      </c>
      <c r="V39" s="92">
        <f t="shared" si="2"/>
        <v>-0.38092204812332631</v>
      </c>
      <c r="W39" s="92">
        <f t="shared" si="3"/>
        <v>4.0123790223401929</v>
      </c>
      <c r="X39" s="92">
        <f t="shared" si="4"/>
        <v>1.7116530173484357E-3</v>
      </c>
      <c r="Y39" s="92">
        <f t="shared" si="4"/>
        <v>-9.5129591522198353E-3</v>
      </c>
      <c r="Z39" s="40">
        <f t="shared" si="6"/>
        <v>3.7403659918848584E-4</v>
      </c>
      <c r="AA39" s="97">
        <f t="shared" si="7"/>
        <v>2.9126359775629411E-4</v>
      </c>
    </row>
    <row r="40" spans="2:27">
      <c r="B40" s="83">
        <f>'Ex8'!J39</f>
        <v>-2.0841057955988229E-2</v>
      </c>
      <c r="C40" s="87">
        <v>1</v>
      </c>
      <c r="D40" s="83">
        <f>'Ex8'!H39</f>
        <v>-0.37803947088484929</v>
      </c>
      <c r="E40" s="83">
        <f>'Ex8'!I39</f>
        <v>4.0597394237198756</v>
      </c>
      <c r="F40" s="90">
        <f>'Ex8'!M39</f>
        <v>-1.6480575597000002E-2</v>
      </c>
      <c r="G40" s="90">
        <f>'Ex8'!N39</f>
        <v>1.7116530173484357E-3</v>
      </c>
      <c r="H40" s="40">
        <f t="shared" si="0"/>
        <v>1.8082363955442129E-4</v>
      </c>
      <c r="I40" s="97">
        <f t="shared" si="1"/>
        <v>4.3434969672329364E-4</v>
      </c>
      <c r="J40" s="90"/>
      <c r="K40" s="90"/>
      <c r="L40" s="90"/>
      <c r="M40" s="90"/>
      <c r="N40" s="90"/>
      <c r="O40" s="90"/>
      <c r="P40" s="90"/>
      <c r="Q40" s="90"/>
      <c r="R40" s="90"/>
      <c r="T40" s="92">
        <f t="shared" si="5"/>
        <v>-2.0841057955988229E-2</v>
      </c>
      <c r="U40" s="93">
        <f>'Ex8'!G37</f>
        <v>1</v>
      </c>
      <c r="V40" s="92">
        <f t="shared" si="2"/>
        <v>-0.37803947088484929</v>
      </c>
      <c r="W40" s="92">
        <f t="shared" si="3"/>
        <v>4.0597394237198756</v>
      </c>
      <c r="X40" s="92">
        <f t="shared" si="4"/>
        <v>-1.6480575597000002E-2</v>
      </c>
      <c r="Y40" s="92">
        <f t="shared" si="4"/>
        <v>1.7116530173484357E-3</v>
      </c>
      <c r="Z40" s="40">
        <f t="shared" si="6"/>
        <v>1.6972122609813475E-4</v>
      </c>
      <c r="AA40" s="97">
        <f t="shared" si="7"/>
        <v>4.5911328236071199E-4</v>
      </c>
    </row>
    <row r="41" spans="2:27">
      <c r="B41" s="83">
        <f>'Ex8'!J40</f>
        <v>-1.6168457350713594E-2</v>
      </c>
      <c r="C41" s="87">
        <v>1</v>
      </c>
      <c r="D41" s="83">
        <f>'Ex8'!H40</f>
        <v>-0.36759021732438507</v>
      </c>
      <c r="E41" s="83">
        <f>'Ex8'!I40</f>
        <v>4.1442681472560778</v>
      </c>
      <c r="F41" s="90">
        <f>'Ex8'!M40</f>
        <v>-2.0841057955988229E-2</v>
      </c>
      <c r="G41" s="90">
        <f>'Ex8'!N40</f>
        <v>-1.6480575597000002E-2</v>
      </c>
      <c r="H41" s="40">
        <f t="shared" si="0"/>
        <v>1.3413110715942275E-4</v>
      </c>
      <c r="I41" s="97">
        <f t="shared" si="1"/>
        <v>2.6141901310062907E-4</v>
      </c>
      <c r="J41" s="90"/>
      <c r="K41" s="90"/>
      <c r="L41" s="90"/>
      <c r="M41" s="90"/>
      <c r="N41" s="90"/>
      <c r="O41" s="90"/>
      <c r="P41" s="90"/>
      <c r="Q41" s="90"/>
      <c r="R41" s="90"/>
      <c r="T41" s="92">
        <f t="shared" si="5"/>
        <v>-1.6168457350713594E-2</v>
      </c>
      <c r="U41" s="93">
        <f>'Ex8'!G38</f>
        <v>1</v>
      </c>
      <c r="V41" s="92">
        <f t="shared" si="2"/>
        <v>-0.36759021732438507</v>
      </c>
      <c r="W41" s="92">
        <f t="shared" si="3"/>
        <v>4.1442681472560778</v>
      </c>
      <c r="X41" s="92">
        <f t="shared" si="4"/>
        <v>-2.0841057955988229E-2</v>
      </c>
      <c r="Y41" s="92">
        <f t="shared" si="4"/>
        <v>-1.6480575597000002E-2</v>
      </c>
      <c r="Z41" s="40">
        <f t="shared" si="6"/>
        <v>1.1412847453076462E-4</v>
      </c>
      <c r="AA41" s="97">
        <f t="shared" si="7"/>
        <v>2.807075168225097E-4</v>
      </c>
    </row>
    <row r="42" spans="2:27">
      <c r="B42" s="83">
        <f>'Ex8'!J41</f>
        <v>2.3437929240479605E-3</v>
      </c>
      <c r="C42" s="87">
        <v>1</v>
      </c>
      <c r="D42" s="83">
        <f>'Ex8'!H41</f>
        <v>-0.36067034112896312</v>
      </c>
      <c r="E42" s="83">
        <f>'Ex8'!I41</f>
        <v>4.1344699520193462</v>
      </c>
      <c r="F42" s="90">
        <f>'Ex8'!M41</f>
        <v>-1.6168457350713594E-2</v>
      </c>
      <c r="G42" s="90">
        <f>'Ex8'!N41</f>
        <v>-2.0841057955988229E-2</v>
      </c>
      <c r="H42" s="40">
        <f t="shared" si="0"/>
        <v>1.528067647946577E-5</v>
      </c>
      <c r="I42" s="97">
        <f t="shared" si="1"/>
        <v>5.4933652709934648E-6</v>
      </c>
      <c r="J42" s="90"/>
      <c r="K42" s="90"/>
      <c r="L42" s="90"/>
      <c r="M42" s="90"/>
      <c r="N42" s="90"/>
      <c r="O42" s="90"/>
      <c r="P42" s="90"/>
      <c r="Q42" s="90"/>
      <c r="R42" s="90"/>
      <c r="T42" s="92">
        <f t="shared" si="5"/>
        <v>2.3437929240479605E-3</v>
      </c>
      <c r="U42" s="93">
        <f>'Ex8'!G39</f>
        <v>1</v>
      </c>
      <c r="V42" s="92">
        <f t="shared" si="2"/>
        <v>-0.36067034112896312</v>
      </c>
      <c r="W42" s="92">
        <f t="shared" si="3"/>
        <v>4.1344699520193462</v>
      </c>
      <c r="X42" s="92">
        <f t="shared" si="4"/>
        <v>-1.6168457350713594E-2</v>
      </c>
      <c r="Y42" s="92">
        <f t="shared" si="4"/>
        <v>-2.0841057955988229E-2</v>
      </c>
      <c r="Z42" s="40">
        <f t="shared" si="6"/>
        <v>2.3250756042222509E-5</v>
      </c>
      <c r="AA42" s="97">
        <f t="shared" si="7"/>
        <v>3.090289665327969E-6</v>
      </c>
    </row>
    <row r="43" spans="2:27">
      <c r="B43" s="83">
        <f>'Ex8'!J42</f>
        <v>4.4525626013677266E-3</v>
      </c>
      <c r="C43" s="87">
        <v>1</v>
      </c>
      <c r="D43" s="83">
        <f>'Ex8'!H42</f>
        <v>-0.35970072420019716</v>
      </c>
      <c r="E43" s="83">
        <f>'Ex8'!I42</f>
        <v>4.1350065439409907</v>
      </c>
      <c r="F43" s="90">
        <f>'Ex8'!M42</f>
        <v>2.3437929240479605E-3</v>
      </c>
      <c r="G43" s="90">
        <f>'Ex8'!N42</f>
        <v>-1.6168457350713594E-2</v>
      </c>
      <c r="H43" s="40">
        <f t="shared" si="0"/>
        <v>1.3228708030014177E-6</v>
      </c>
      <c r="I43" s="97">
        <f t="shared" si="1"/>
        <v>1.9825313719433224E-5</v>
      </c>
      <c r="J43" s="90"/>
      <c r="K43" s="90"/>
      <c r="L43" s="90"/>
      <c r="M43" s="90"/>
      <c r="N43" s="90"/>
      <c r="O43" s="90"/>
      <c r="P43" s="90"/>
      <c r="Q43" s="90"/>
      <c r="R43" s="90"/>
      <c r="T43" s="92">
        <f t="shared" si="5"/>
        <v>4.4525626013677266E-3</v>
      </c>
      <c r="U43" s="93">
        <f>'Ex8'!G40</f>
        <v>1</v>
      </c>
      <c r="V43" s="92">
        <f t="shared" si="2"/>
        <v>-0.35970072420019716</v>
      </c>
      <c r="W43" s="92">
        <f t="shared" si="3"/>
        <v>4.1350065439409907</v>
      </c>
      <c r="X43" s="92">
        <f t="shared" si="4"/>
        <v>2.3437929240479605E-3</v>
      </c>
      <c r="Y43" s="92">
        <f t="shared" si="4"/>
        <v>-1.6168457350713594E-2</v>
      </c>
      <c r="Z43" s="40">
        <f t="shared" si="6"/>
        <v>8.2982750490424988E-9</v>
      </c>
      <c r="AA43" s="97">
        <f t="shared" si="7"/>
        <v>1.4951304323429551E-5</v>
      </c>
    </row>
    <row r="44" spans="2:27">
      <c r="B44" s="83">
        <f>'Ex8'!J43</f>
        <v>-1.4726864520935079E-2</v>
      </c>
      <c r="C44" s="87">
        <v>1</v>
      </c>
      <c r="D44" s="83">
        <f>'Ex8'!H43</f>
        <v>-0.36475994520584604</v>
      </c>
      <c r="E44" s="83">
        <f>'Ex8'!I43</f>
        <v>4.1658897293851966</v>
      </c>
      <c r="F44" s="90">
        <f>'Ex8'!M43</f>
        <v>4.4525626013677266E-3</v>
      </c>
      <c r="G44" s="90">
        <f>'Ex8'!N43</f>
        <v>2.3437929240479605E-3</v>
      </c>
      <c r="H44" s="40">
        <f t="shared" si="0"/>
        <v>2.917438717529783E-4</v>
      </c>
      <c r="I44" s="97">
        <f t="shared" si="1"/>
        <v>2.1688053861686939E-4</v>
      </c>
      <c r="J44" s="90"/>
      <c r="K44" s="90"/>
      <c r="L44" s="90"/>
      <c r="M44" s="90"/>
      <c r="N44" s="90"/>
      <c r="O44" s="90"/>
      <c r="P44" s="90"/>
      <c r="Q44" s="90"/>
      <c r="R44" s="90"/>
      <c r="T44" s="92">
        <f t="shared" si="5"/>
        <v>-1.4726864520935079E-2</v>
      </c>
      <c r="U44" s="93">
        <f>'Ex8'!G41</f>
        <v>1</v>
      </c>
      <c r="V44" s="92">
        <f t="shared" si="2"/>
        <v>-0.36475994520584604</v>
      </c>
      <c r="W44" s="92">
        <f t="shared" si="3"/>
        <v>4.1658897293851966</v>
      </c>
      <c r="X44" s="92">
        <f t="shared" si="4"/>
        <v>4.4525626013677266E-3</v>
      </c>
      <c r="Y44" s="92">
        <f t="shared" si="4"/>
        <v>2.3437929240479605E-3</v>
      </c>
      <c r="Z44" s="40">
        <f t="shared" si="6"/>
        <v>2.4073393949762336E-4</v>
      </c>
      <c r="AA44" s="97">
        <f t="shared" si="7"/>
        <v>2.344798676160101E-4</v>
      </c>
    </row>
    <row r="45" spans="2:27">
      <c r="B45" s="83">
        <f>'Ex8'!J44</f>
        <v>2.9537320226780128E-3</v>
      </c>
      <c r="C45" s="87">
        <v>1</v>
      </c>
      <c r="D45" s="83">
        <f>'Ex8'!H44</f>
        <v>-0.35335857785432762</v>
      </c>
      <c r="E45" s="83">
        <f>'Ex8'!I44</f>
        <v>4.2014191361443975</v>
      </c>
      <c r="F45" s="90">
        <f>'Ex8'!M44</f>
        <v>-1.4726864520935079E-2</v>
      </c>
      <c r="G45" s="90">
        <f>'Ex8'!N44</f>
        <v>4.4525626013677266E-3</v>
      </c>
      <c r="H45" s="40">
        <f t="shared" si="0"/>
        <v>9.1425395224814098E-5</v>
      </c>
      <c r="I45" s="97">
        <f t="shared" si="1"/>
        <v>8.7245328620155694E-6</v>
      </c>
      <c r="J45" s="90"/>
      <c r="K45" s="90"/>
      <c r="L45" s="90"/>
      <c r="M45" s="90"/>
      <c r="N45" s="90"/>
      <c r="O45" s="90"/>
      <c r="P45" s="90"/>
      <c r="Q45" s="90"/>
      <c r="R45" s="90"/>
      <c r="T45" s="92">
        <f t="shared" si="5"/>
        <v>2.9537320226780128E-3</v>
      </c>
      <c r="U45" s="93">
        <f>'Ex8'!G42</f>
        <v>1</v>
      </c>
      <c r="V45" s="92">
        <f t="shared" si="2"/>
        <v>-0.35335857785432762</v>
      </c>
      <c r="W45" s="92">
        <f t="shared" si="3"/>
        <v>4.2014191361443975</v>
      </c>
      <c r="X45" s="92">
        <f t="shared" si="4"/>
        <v>-1.4726864520935079E-2</v>
      </c>
      <c r="Y45" s="92">
        <f t="shared" si="4"/>
        <v>4.4525626013677266E-3</v>
      </c>
      <c r="Z45" s="40">
        <f t="shared" si="6"/>
        <v>1.2391977194366047E-4</v>
      </c>
      <c r="AA45" s="97">
        <f t="shared" si="7"/>
        <v>5.6067660574663012E-6</v>
      </c>
    </row>
    <row r="46" spans="2:27">
      <c r="B46" s="83">
        <f>'Ex8'!J45</f>
        <v>3.6539395397239272E-3</v>
      </c>
      <c r="C46" s="87">
        <v>1</v>
      </c>
      <c r="D46" s="83">
        <f>'Ex8'!H45</f>
        <v>-0.34945564090041725</v>
      </c>
      <c r="E46" s="83">
        <f>'Ex8'!I45</f>
        <v>4.2350174304874137</v>
      </c>
      <c r="F46" s="90">
        <f>'Ex8'!M45</f>
        <v>2.9537320226780128E-3</v>
      </c>
      <c r="G46" s="90">
        <f>'Ex8'!N45</f>
        <v>-1.4726864520935079E-2</v>
      </c>
      <c r="H46" s="40">
        <f t="shared" si="0"/>
        <v>5.7277534113216541E-6</v>
      </c>
      <c r="I46" s="97">
        <f t="shared" si="1"/>
        <v>1.3351274160232561E-5</v>
      </c>
      <c r="J46" s="90"/>
      <c r="K46" s="90"/>
      <c r="L46" s="90"/>
      <c r="M46" s="90"/>
      <c r="N46" s="90"/>
      <c r="O46" s="90"/>
      <c r="P46" s="90"/>
      <c r="Q46" s="90"/>
      <c r="R46" s="90"/>
      <c r="T46" s="92">
        <f t="shared" si="5"/>
        <v>3.6539395397239272E-3</v>
      </c>
      <c r="U46" s="93">
        <f>'Ex8'!G43</f>
        <v>1</v>
      </c>
      <c r="V46" s="92">
        <f t="shared" si="2"/>
        <v>-0.34945564090041725</v>
      </c>
      <c r="W46" s="92">
        <f t="shared" si="3"/>
        <v>4.2350174304874137</v>
      </c>
      <c r="X46" s="92">
        <f t="shared" si="4"/>
        <v>2.9537320226780128E-3</v>
      </c>
      <c r="Y46" s="92">
        <f t="shared" si="4"/>
        <v>-1.4726864520935079E-2</v>
      </c>
      <c r="Z46" s="40">
        <f t="shared" si="6"/>
        <v>1.477808046371809E-7</v>
      </c>
      <c r="AA46" s="97">
        <f t="shared" si="7"/>
        <v>9.4130448686104643E-6</v>
      </c>
    </row>
    <row r="47" spans="2:27">
      <c r="G47" s="69"/>
      <c r="H47" s="53">
        <f>SUM(H7:H46)</f>
        <v>1.1380780081451476E-2</v>
      </c>
      <c r="I47" s="53">
        <f>SUM(I7:I46)</f>
        <v>1.3872899114760747E-2</v>
      </c>
      <c r="J47" s="69"/>
      <c r="K47" s="69"/>
      <c r="L47" s="69"/>
      <c r="M47" s="69"/>
      <c r="N47" s="69"/>
      <c r="O47" s="69"/>
      <c r="P47" s="69"/>
      <c r="Q47" s="69"/>
      <c r="R47" s="69"/>
      <c r="S47" s="69"/>
      <c r="U47" s="93"/>
      <c r="Z47" s="53">
        <f>SUM(Z9:Z46)</f>
        <v>1.1201053302704066E-2</v>
      </c>
      <c r="AA47" s="53">
        <f>SUM(AA9:AA46)</f>
        <v>1.3612032794929082E-2</v>
      </c>
    </row>
    <row r="48" spans="2:27">
      <c r="U48" s="93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74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B3"/>
  <sheetViews>
    <sheetView topLeftCell="A28" workbookViewId="0">
      <selection activeCell="E1" sqref="E1:T54"/>
    </sheetView>
  </sheetViews>
  <sheetFormatPr defaultRowHeight="15"/>
  <cols>
    <col min="20" max="20" width="11.85546875" customWidth="1"/>
  </cols>
  <sheetData>
    <row r="3" spans="2:2">
      <c r="B3" s="79" t="s">
        <v>209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B3:D46"/>
  <sheetViews>
    <sheetView workbookViewId="0">
      <selection activeCell="E5" sqref="E4:E5"/>
    </sheetView>
  </sheetViews>
  <sheetFormatPr defaultRowHeight="15"/>
  <cols>
    <col min="2" max="2" width="12.42578125" customWidth="1"/>
    <col min="4" max="4" width="13.7109375" bestFit="1" customWidth="1"/>
  </cols>
  <sheetData>
    <row r="3" spans="2:4">
      <c r="B3" s="79" t="s">
        <v>215</v>
      </c>
    </row>
    <row r="6" spans="2:4">
      <c r="B6" s="67" t="s">
        <v>3</v>
      </c>
      <c r="C6" s="67" t="s">
        <v>4</v>
      </c>
      <c r="D6" s="67" t="s">
        <v>2</v>
      </c>
    </row>
    <row r="7" spans="2:4">
      <c r="B7" s="36">
        <v>0.92127400000000004</v>
      </c>
      <c r="C7" s="36">
        <v>0.56253916806722604</v>
      </c>
      <c r="D7" s="83">
        <v>33.745902884567002</v>
      </c>
    </row>
    <row r="8" spans="2:4">
      <c r="B8" s="36">
        <v>0.93121666666666603</v>
      </c>
      <c r="C8" s="36">
        <v>0.56412665266106399</v>
      </c>
      <c r="D8" s="83">
        <v>34.949235972658599</v>
      </c>
    </row>
    <row r="9" spans="2:4">
      <c r="B9" s="36">
        <v>0.95033499999999904</v>
      </c>
      <c r="C9" s="36">
        <v>0.56717915966386501</v>
      </c>
      <c r="D9" s="83">
        <v>40.094836708549899</v>
      </c>
    </row>
    <row r="10" spans="2:4">
      <c r="B10" s="36">
        <v>0.99682749999999998</v>
      </c>
      <c r="C10" s="36">
        <v>0.57460233193277299</v>
      </c>
      <c r="D10" s="83">
        <v>40.1045655370228</v>
      </c>
    </row>
    <row r="11" spans="2:4">
      <c r="B11" s="84">
        <v>1.0021249999999999</v>
      </c>
      <c r="C11" s="36">
        <v>0.57544815126050397</v>
      </c>
      <c r="D11" s="83">
        <v>38.250491419364501</v>
      </c>
    </row>
    <row r="12" spans="2:4">
      <c r="B12" s="84">
        <v>1.0091812499999999</v>
      </c>
      <c r="C12" s="36">
        <v>0.582634779411764</v>
      </c>
      <c r="D12" s="83">
        <v>44.726822140244998</v>
      </c>
    </row>
    <row r="13" spans="2:4">
      <c r="B13" s="84">
        <v>1.0826962499999999</v>
      </c>
      <c r="C13" s="36">
        <v>0.611585960743801</v>
      </c>
      <c r="D13" s="83">
        <v>47.874444571772003</v>
      </c>
    </row>
    <row r="14" spans="2:4">
      <c r="B14" s="84">
        <v>1.1013725000000001</v>
      </c>
      <c r="C14" s="36">
        <v>0.61482729338842901</v>
      </c>
      <c r="D14" s="83">
        <v>52.158626805388103</v>
      </c>
    </row>
    <row r="15" spans="2:4">
      <c r="B15" s="84">
        <v>1.14554625</v>
      </c>
      <c r="C15" s="36">
        <v>0.62249381198347098</v>
      </c>
      <c r="D15" s="83">
        <v>51.324539209752501</v>
      </c>
    </row>
    <row r="16" spans="2:4">
      <c r="B16" s="84">
        <v>1.1592487499999999</v>
      </c>
      <c r="C16" s="36">
        <v>0.62487193181818101</v>
      </c>
      <c r="D16" s="83">
        <v>48.778462572034002</v>
      </c>
    </row>
    <row r="17" spans="2:4">
      <c r="B17" s="84">
        <v>1.115435</v>
      </c>
      <c r="C17" s="36">
        <v>0.617267892561983</v>
      </c>
      <c r="D17" s="83">
        <v>46.813943040099403</v>
      </c>
    </row>
    <row r="18" spans="2:4">
      <c r="B18" s="84">
        <v>1.0811375000000001</v>
      </c>
      <c r="C18" s="36">
        <v>0.61131543388429699</v>
      </c>
      <c r="D18" s="83">
        <v>47.999622190009802</v>
      </c>
    </row>
    <row r="19" spans="2:4">
      <c r="B19" s="85">
        <v>1.0933333333333299</v>
      </c>
      <c r="C19" s="36">
        <v>0.62593206611570196</v>
      </c>
      <c r="D19" s="83">
        <v>52.076471260247601</v>
      </c>
    </row>
    <row r="20" spans="2:4">
      <c r="B20" s="84">
        <v>1.13305875</v>
      </c>
      <c r="C20" s="36">
        <v>0.64532655991735499</v>
      </c>
      <c r="D20" s="83">
        <v>50.357252119366002</v>
      </c>
    </row>
    <row r="21" spans="2:4">
      <c r="B21" s="84">
        <v>1.1326037499999999</v>
      </c>
      <c r="C21" s="36">
        <v>0.64524759297520595</v>
      </c>
      <c r="D21" s="83">
        <v>51.648158788387697</v>
      </c>
    </row>
    <row r="22" spans="2:4">
      <c r="B22" s="84">
        <v>1.164115</v>
      </c>
      <c r="C22" s="36">
        <v>0.65071648760330503</v>
      </c>
      <c r="D22" s="83">
        <v>57.325866524653399</v>
      </c>
    </row>
    <row r="23" spans="2:4">
      <c r="B23" s="84">
        <v>1.2125250000000001</v>
      </c>
      <c r="C23" s="36">
        <v>0.65911822314049495</v>
      </c>
      <c r="D23" s="83">
        <v>54.876837487641097</v>
      </c>
    </row>
    <row r="24" spans="2:4">
      <c r="B24" s="84">
        <v>1.2016962499999999</v>
      </c>
      <c r="C24" s="36">
        <v>0.65723885330578502</v>
      </c>
      <c r="D24" s="83">
        <v>54.125735371307101</v>
      </c>
    </row>
    <row r="25" spans="2:4">
      <c r="B25" s="84">
        <v>1.2196640000000001</v>
      </c>
      <c r="C25" s="36">
        <v>0.66035722314049605</v>
      </c>
      <c r="D25" s="83">
        <v>58.0741258383038</v>
      </c>
    </row>
    <row r="26" spans="2:4">
      <c r="B26" s="84">
        <v>1.2356462500000001</v>
      </c>
      <c r="C26" s="36">
        <v>0.66313100206611497</v>
      </c>
      <c r="D26" s="83">
        <v>57.066110294947599</v>
      </c>
    </row>
    <row r="27" spans="2:4">
      <c r="B27" s="84">
        <v>1.1947049999999999</v>
      </c>
      <c r="C27" s="36">
        <v>0.65602549586776804</v>
      </c>
      <c r="D27" s="83">
        <v>48.485835075706603</v>
      </c>
    </row>
    <row r="28" spans="2:4">
      <c r="B28" s="84">
        <v>1.1186259999999999</v>
      </c>
      <c r="C28" s="36">
        <v>0.64282170247933801</v>
      </c>
      <c r="D28" s="83">
        <v>45.828512575541097</v>
      </c>
    </row>
    <row r="29" spans="2:4">
      <c r="B29" s="84">
        <v>1.1080725</v>
      </c>
      <c r="C29" s="36">
        <v>0.64099010330578499</v>
      </c>
      <c r="D29" s="83">
        <v>45.732574377817699</v>
      </c>
    </row>
    <row r="30" spans="2:4">
      <c r="B30" s="85">
        <v>1.18720166666666</v>
      </c>
      <c r="C30" s="36">
        <v>0.65472326446280904</v>
      </c>
      <c r="D30" s="83">
        <v>47.182367314536897</v>
      </c>
    </row>
    <row r="31" spans="2:4">
      <c r="B31" s="84">
        <v>1.1150774999999999</v>
      </c>
      <c r="C31" s="36">
        <v>0.66408084710743698</v>
      </c>
      <c r="D31" s="83">
        <v>41.296289847289501</v>
      </c>
    </row>
    <row r="32" spans="2:4">
      <c r="B32" s="84">
        <v>1.1089087500000001</v>
      </c>
      <c r="C32" s="36">
        <v>0.66613523760330495</v>
      </c>
      <c r="D32" s="83">
        <v>43.921849312362397</v>
      </c>
    </row>
    <row r="33" spans="2:4">
      <c r="B33" s="84">
        <v>1.1454212500000001</v>
      </c>
      <c r="C33" s="36">
        <v>0.67247211776859495</v>
      </c>
      <c r="D33" s="83">
        <v>46.9341378445367</v>
      </c>
    </row>
    <row r="34" spans="2:4">
      <c r="B34" s="84">
        <v>1.1819249999999999</v>
      </c>
      <c r="C34" s="36">
        <v>0.678807479338842</v>
      </c>
      <c r="D34" s="83">
        <v>49.942446961362499</v>
      </c>
    </row>
    <row r="35" spans="2:4">
      <c r="B35" s="85">
        <v>1.2098899999999999</v>
      </c>
      <c r="C35" s="36">
        <v>0.68366090909090804</v>
      </c>
      <c r="D35" s="83">
        <v>49.819255048742498</v>
      </c>
    </row>
    <row r="36" spans="2:4">
      <c r="B36" s="85">
        <v>1.2218100000000001</v>
      </c>
      <c r="C36" s="36">
        <v>0.68572966942148705</v>
      </c>
      <c r="D36" s="83">
        <v>53.285478360226698</v>
      </c>
    </row>
    <row r="37" spans="2:4">
      <c r="B37" s="85">
        <v>1.2265299999999999</v>
      </c>
      <c r="C37" s="36">
        <v>0.68654884297520602</v>
      </c>
      <c r="D37" s="83">
        <v>56.398044397977102</v>
      </c>
    </row>
    <row r="38" spans="2:4">
      <c r="B38" s="84">
        <v>1.2124462499999999</v>
      </c>
      <c r="C38" s="36">
        <v>0.68410455578512297</v>
      </c>
      <c r="D38" s="83">
        <v>51.924568476534297</v>
      </c>
    </row>
    <row r="39" spans="2:4">
      <c r="B39" s="84">
        <v>1.20741375</v>
      </c>
      <c r="C39" s="36">
        <v>0.68323114669421503</v>
      </c>
      <c r="D39" s="83">
        <v>55.2782223830311</v>
      </c>
    </row>
    <row r="40" spans="2:4">
      <c r="B40" s="84">
        <v>1.2187779999999999</v>
      </c>
      <c r="C40" s="36">
        <v>0.68520345454545395</v>
      </c>
      <c r="D40" s="83">
        <v>57.959206316692402</v>
      </c>
    </row>
    <row r="41" spans="2:4">
      <c r="B41" s="84">
        <v>1.2602487499999999</v>
      </c>
      <c r="C41" s="36">
        <v>0.69240085743801605</v>
      </c>
      <c r="D41" s="83">
        <v>63.071445996009103</v>
      </c>
    </row>
    <row r="42" spans="2:4">
      <c r="B42" s="85">
        <v>1.2879516666666599</v>
      </c>
      <c r="C42" s="36">
        <v>0.69720880165289201</v>
      </c>
      <c r="D42" s="83">
        <v>62.456477365608201</v>
      </c>
    </row>
    <row r="43" spans="2:4">
      <c r="B43" s="84">
        <v>1.29184875</v>
      </c>
      <c r="C43" s="36">
        <v>0.69788515495867698</v>
      </c>
      <c r="D43" s="83">
        <v>62.49</v>
      </c>
    </row>
    <row r="44" spans="2:4">
      <c r="B44" s="84">
        <v>1.2715562499999999</v>
      </c>
      <c r="C44" s="36">
        <v>0.69436331611570201</v>
      </c>
      <c r="D44" s="83">
        <v>64.45</v>
      </c>
    </row>
    <row r="45" spans="2:4">
      <c r="B45" s="84">
        <v>1.3174325</v>
      </c>
      <c r="C45" s="36">
        <v>0.70232530991735498</v>
      </c>
      <c r="D45" s="83">
        <v>66.781035206800894</v>
      </c>
    </row>
    <row r="46" spans="2:4">
      <c r="B46" s="86">
        <v>1.3332575</v>
      </c>
      <c r="C46" s="36">
        <v>0.70507179752066096</v>
      </c>
      <c r="D46" s="83">
        <v>69.0628825227314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6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111"/>
  <sheetViews>
    <sheetView tabSelected="1" topLeftCell="A52" workbookViewId="0">
      <selection activeCell="F30" sqref="F30"/>
    </sheetView>
  </sheetViews>
  <sheetFormatPr defaultRowHeight="15"/>
  <cols>
    <col min="2" max="2" width="12.140625" bestFit="1" customWidth="1"/>
    <col min="3" max="3" width="18.85546875" bestFit="1" customWidth="1"/>
    <col min="4" max="4" width="19.28515625" bestFit="1" customWidth="1"/>
    <col min="5" max="5" width="12" bestFit="1" customWidth="1"/>
    <col min="6" max="6" width="12.7109375" bestFit="1" customWidth="1"/>
    <col min="7" max="7" width="16.140625" bestFit="1" customWidth="1"/>
    <col min="8" max="8" width="12" bestFit="1" customWidth="1"/>
    <col min="9" max="9" width="12.7109375" bestFit="1" customWidth="1"/>
    <col min="10" max="10" width="16.140625" bestFit="1" customWidth="1"/>
    <col min="11" max="14" width="12" customWidth="1"/>
  </cols>
  <sheetData>
    <row r="1" spans="11:17">
      <c r="K1" s="46" t="s">
        <v>269</v>
      </c>
    </row>
    <row r="2" spans="11:17">
      <c r="K2" s="63" t="s">
        <v>216</v>
      </c>
      <c r="L2" s="63" t="s">
        <v>217</v>
      </c>
    </row>
    <row r="3" spans="11:17">
      <c r="K3">
        <v>100</v>
      </c>
      <c r="L3">
        <v>500</v>
      </c>
    </row>
    <row r="4" spans="11:17">
      <c r="K4">
        <v>150</v>
      </c>
      <c r="L4">
        <v>600</v>
      </c>
    </row>
    <row r="5" spans="11:17">
      <c r="K5">
        <v>200</v>
      </c>
      <c r="L5">
        <v>600</v>
      </c>
    </row>
    <row r="6" spans="11:17">
      <c r="K6">
        <v>180</v>
      </c>
      <c r="L6">
        <v>500</v>
      </c>
    </row>
    <row r="8" spans="11:17">
      <c r="L8" s="40">
        <f t="array" ref="L8:M9">MMULT(TRANSPOSE(D30:E33),D30:E33)</f>
        <v>4</v>
      </c>
      <c r="M8" s="41">
        <v>2200</v>
      </c>
    </row>
    <row r="9" spans="11:17">
      <c r="K9" s="38" t="s">
        <v>93</v>
      </c>
      <c r="L9" s="40">
        <v>2200</v>
      </c>
      <c r="M9" s="41">
        <v>1220000</v>
      </c>
    </row>
    <row r="11" spans="11:17" ht="17.25">
      <c r="K11" s="38" t="s">
        <v>94</v>
      </c>
      <c r="L11" s="40">
        <f t="array" ref="L11:M12">MINVERSE(L8:M9)</f>
        <v>30.500000000000277</v>
      </c>
      <c r="M11" s="41">
        <v>-5.5000000000000507E-2</v>
      </c>
    </row>
    <row r="12" spans="11:17">
      <c r="L12" s="40">
        <v>-5.50000000000005E-2</v>
      </c>
      <c r="M12" s="41">
        <v>1.0000000000000091E-4</v>
      </c>
    </row>
    <row r="13" spans="11:17">
      <c r="O13" s="38"/>
      <c r="P13" s="50"/>
      <c r="Q13" s="50"/>
    </row>
    <row r="14" spans="11:17">
      <c r="K14" s="38" t="s">
        <v>95</v>
      </c>
      <c r="L14" s="42">
        <f t="array" ref="L14:L15">MMULT(TRANSPOSE(D30:E33),C30:C33)</f>
        <v>630</v>
      </c>
      <c r="P14" s="50"/>
      <c r="Q14" s="50"/>
    </row>
    <row r="15" spans="11:17">
      <c r="L15" s="42">
        <v>350000</v>
      </c>
      <c r="P15" s="50"/>
      <c r="Q15" s="50"/>
    </row>
    <row r="17" spans="3:20">
      <c r="K17" s="64" t="s">
        <v>268</v>
      </c>
      <c r="L17" s="50">
        <f>AVERAGE(C30:C33)</f>
        <v>157.5</v>
      </c>
    </row>
    <row r="18" spans="3:20">
      <c r="K18" s="64" t="s">
        <v>218</v>
      </c>
      <c r="L18" s="50">
        <f>1-G34/H34</f>
        <v>0.21585903083700442</v>
      </c>
      <c r="Q18" s="50"/>
    </row>
    <row r="19" spans="3:20">
      <c r="K19" s="61" t="s">
        <v>114</v>
      </c>
      <c r="L19" s="50">
        <f>(G34/(4-2))^0.5</f>
        <v>47.169905660283021</v>
      </c>
      <c r="P19" s="50"/>
      <c r="Q19" s="50"/>
    </row>
    <row r="20" spans="3:20">
      <c r="Q20" s="50"/>
    </row>
    <row r="21" spans="3:20">
      <c r="Q21" s="50"/>
    </row>
    <row r="22" spans="3:20">
      <c r="K22" s="39" t="s">
        <v>96</v>
      </c>
      <c r="L22" s="42">
        <f t="array" ref="L22:L23">MMULT(L11:M12,L14:L15)</f>
        <v>-35.000000000003638</v>
      </c>
      <c r="P22" s="50"/>
      <c r="Q22" s="50"/>
    </row>
    <row r="23" spans="3:20">
      <c r="L23" s="42">
        <v>0.35000000000000142</v>
      </c>
      <c r="P23" s="50"/>
      <c r="Q23" s="50"/>
    </row>
    <row r="24" spans="3:20">
      <c r="P24" s="50"/>
      <c r="Q24" s="50"/>
    </row>
    <row r="25" spans="3:20">
      <c r="K25" s="38" t="s">
        <v>220</v>
      </c>
      <c r="L25" s="40">
        <f t="array" ref="L25:M26">L11:M12*L19^2</f>
        <v>67862.500000000611</v>
      </c>
      <c r="M25" s="41">
        <v>-122.37500000000112</v>
      </c>
      <c r="Q25" s="50"/>
    </row>
    <row r="26" spans="3:20">
      <c r="L26" s="40">
        <v>-122.37500000000111</v>
      </c>
      <c r="M26" s="41">
        <v>0.22250000000000203</v>
      </c>
      <c r="Q26" s="50"/>
    </row>
    <row r="27" spans="3:20">
      <c r="L27" s="50"/>
      <c r="M27" s="50"/>
      <c r="Q27" s="50"/>
    </row>
    <row r="28" spans="3:20">
      <c r="S28" s="50"/>
      <c r="T28" s="50"/>
    </row>
    <row r="29" spans="3:20" ht="17.25">
      <c r="C29" s="63" t="s">
        <v>216</v>
      </c>
      <c r="D29" s="63" t="s">
        <v>92</v>
      </c>
      <c r="E29" s="63" t="s">
        <v>217</v>
      </c>
      <c r="F29" s="63" t="s">
        <v>240</v>
      </c>
      <c r="G29" s="63" t="s">
        <v>267</v>
      </c>
      <c r="H29" s="63" t="s">
        <v>155</v>
      </c>
      <c r="I29" s="63" t="s">
        <v>227</v>
      </c>
      <c r="J29" s="63" t="s">
        <v>226</v>
      </c>
      <c r="K29" s="63" t="s">
        <v>225</v>
      </c>
      <c r="N29" s="80"/>
      <c r="S29" s="50"/>
      <c r="T29" s="50"/>
    </row>
    <row r="30" spans="3:20">
      <c r="C30">
        <f>K3</f>
        <v>100</v>
      </c>
      <c r="D30">
        <v>1</v>
      </c>
      <c r="E30">
        <f>L3</f>
        <v>500</v>
      </c>
      <c r="F30">
        <f>(C30-L$22-L$23*E30)</f>
        <v>-39.999999999997073</v>
      </c>
      <c r="G30">
        <f>F30^2</f>
        <v>1599.9999999997658</v>
      </c>
      <c r="H30">
        <f>(C30-L$17)^2</f>
        <v>3306.25</v>
      </c>
      <c r="I30">
        <v>0</v>
      </c>
      <c r="J30">
        <v>0</v>
      </c>
      <c r="K30">
        <v>0</v>
      </c>
      <c r="S30" s="50"/>
      <c r="T30" s="50"/>
    </row>
    <row r="31" spans="3:20">
      <c r="C31">
        <f>K4</f>
        <v>150</v>
      </c>
      <c r="D31">
        <v>1</v>
      </c>
      <c r="E31">
        <f>L4</f>
        <v>600</v>
      </c>
      <c r="F31">
        <f>(C31-L$22-L$23*E31)</f>
        <v>-24.999999999997215</v>
      </c>
      <c r="G31">
        <f t="shared" ref="G31:G33" si="0">F31^2</f>
        <v>624.99999999986073</v>
      </c>
      <c r="H31">
        <f>(C31-L$17)^2</f>
        <v>56.25</v>
      </c>
      <c r="I31">
        <f>F30</f>
        <v>-39.999999999997073</v>
      </c>
      <c r="J31">
        <v>0</v>
      </c>
      <c r="K31">
        <v>0</v>
      </c>
      <c r="S31" s="50"/>
      <c r="T31" s="50"/>
    </row>
    <row r="32" spans="3:20">
      <c r="C32">
        <f>K5</f>
        <v>200</v>
      </c>
      <c r="D32">
        <v>1</v>
      </c>
      <c r="E32">
        <f>L5</f>
        <v>600</v>
      </c>
      <c r="F32">
        <f>(C32-L$22-L$23*E32)</f>
        <v>25.000000000002785</v>
      </c>
      <c r="G32">
        <f t="shared" si="0"/>
        <v>625.00000000013927</v>
      </c>
      <c r="H32">
        <f>(C32-L$17)^2</f>
        <v>1806.25</v>
      </c>
      <c r="I32">
        <f t="shared" ref="I32:I33" si="1">F31</f>
        <v>-24.999999999997215</v>
      </c>
      <c r="J32">
        <f>F30</f>
        <v>-39.999999999997073</v>
      </c>
      <c r="K32">
        <v>0</v>
      </c>
      <c r="S32" s="50"/>
      <c r="T32" s="50"/>
    </row>
    <row r="33" spans="2:20">
      <c r="C33">
        <f>K6</f>
        <v>180</v>
      </c>
      <c r="D33">
        <v>1</v>
      </c>
      <c r="E33">
        <f>L6</f>
        <v>500</v>
      </c>
      <c r="F33">
        <f>(C33-L$22-L$23*E33)</f>
        <v>40.000000000002927</v>
      </c>
      <c r="G33">
        <f t="shared" si="0"/>
        <v>1600.0000000002342</v>
      </c>
      <c r="H33">
        <f>(C33-L$17)^2</f>
        <v>506.25</v>
      </c>
      <c r="I33">
        <f t="shared" si="1"/>
        <v>25.000000000002785</v>
      </c>
      <c r="J33">
        <f>F31</f>
        <v>-24.999999999997215</v>
      </c>
      <c r="K33">
        <f>F30</f>
        <v>-39.999999999997073</v>
      </c>
      <c r="S33" s="50"/>
      <c r="T33" s="50"/>
    </row>
    <row r="34" spans="2:20">
      <c r="F34" s="53">
        <f>SUM(F30:F33)</f>
        <v>1.1425527191022411E-11</v>
      </c>
      <c r="G34" s="53">
        <f>SUM(G30:G33)</f>
        <v>4450</v>
      </c>
      <c r="H34" s="53">
        <f>SUM(H30:H33)</f>
        <v>5675</v>
      </c>
      <c r="I34" s="53">
        <f t="shared" ref="I34:K34" si="2">SUM(I30:I33)</f>
        <v>-39.999999999991502</v>
      </c>
      <c r="J34" s="53">
        <f t="shared" si="2"/>
        <v>-64.999999999994287</v>
      </c>
      <c r="K34" s="53">
        <f t="shared" si="2"/>
        <v>-39.999999999997073</v>
      </c>
      <c r="N34" s="69"/>
      <c r="S34" s="50"/>
      <c r="T34" s="50"/>
    </row>
    <row r="35" spans="2:20">
      <c r="S35" s="50"/>
      <c r="T35" s="50"/>
    </row>
    <row r="36" spans="2:20">
      <c r="S36" s="50"/>
      <c r="T36" s="50"/>
    </row>
    <row r="37" spans="2:20">
      <c r="B37" s="28" t="s">
        <v>240</v>
      </c>
      <c r="C37" s="28" t="s">
        <v>227</v>
      </c>
      <c r="D37" s="28" t="s">
        <v>226</v>
      </c>
      <c r="E37" s="28" t="s">
        <v>225</v>
      </c>
      <c r="G37" s="37" t="s">
        <v>254</v>
      </c>
      <c r="H37" s="37" t="s">
        <v>241</v>
      </c>
      <c r="I37" s="37" t="s">
        <v>242</v>
      </c>
      <c r="J37" s="28" t="s">
        <v>243</v>
      </c>
      <c r="K37" s="37" t="s">
        <v>244</v>
      </c>
      <c r="L37" s="37" t="s">
        <v>245</v>
      </c>
      <c r="M37" s="37" t="s">
        <v>246</v>
      </c>
    </row>
    <row r="38" spans="2:20">
      <c r="B38" s="100">
        <f>F30</f>
        <v>-39.999999999997073</v>
      </c>
      <c r="C38" s="100">
        <f>I30</f>
        <v>0</v>
      </c>
      <c r="D38" s="100">
        <f>J30</f>
        <v>0</v>
      </c>
      <c r="E38" s="100">
        <f>K30</f>
        <v>0</v>
      </c>
      <c r="G38" s="100">
        <f>B38^2</f>
        <v>1599.9999999997658</v>
      </c>
      <c r="H38" s="100">
        <f>B38*C38</f>
        <v>0</v>
      </c>
      <c r="I38" s="100">
        <f>B38*D38</f>
        <v>0</v>
      </c>
      <c r="J38" s="100">
        <f>B38*E38</f>
        <v>0</v>
      </c>
      <c r="K38" s="100">
        <f>C38*D38</f>
        <v>0</v>
      </c>
      <c r="L38" s="100">
        <f>C38*E38</f>
        <v>0</v>
      </c>
      <c r="M38" s="100">
        <f>D38*E38</f>
        <v>0</v>
      </c>
    </row>
    <row r="39" spans="2:20">
      <c r="B39" s="42">
        <f>F31</f>
        <v>-24.999999999997215</v>
      </c>
      <c r="C39" s="42">
        <f>I31</f>
        <v>-39.999999999997073</v>
      </c>
      <c r="D39" s="42">
        <f>J31</f>
        <v>0</v>
      </c>
      <c r="E39" s="42">
        <f>K31</f>
        <v>0</v>
      </c>
      <c r="G39" s="42">
        <f t="shared" ref="G39:G41" si="3">B39^2</f>
        <v>624.99999999986073</v>
      </c>
      <c r="H39" s="42">
        <f>B39*C39</f>
        <v>999.99999999981537</v>
      </c>
      <c r="I39" s="42">
        <f>B39*D39</f>
        <v>0</v>
      </c>
      <c r="J39" s="42">
        <f>B39*E39</f>
        <v>0</v>
      </c>
      <c r="K39" s="42">
        <f>C39*D39</f>
        <v>0</v>
      </c>
      <c r="L39" s="42">
        <f>C39*E39</f>
        <v>0</v>
      </c>
      <c r="M39" s="42">
        <f>D39*E39</f>
        <v>0</v>
      </c>
    </row>
    <row r="40" spans="2:20">
      <c r="B40" s="42">
        <f>F32</f>
        <v>25.000000000002785</v>
      </c>
      <c r="C40" s="42">
        <f>I32</f>
        <v>-24.999999999997215</v>
      </c>
      <c r="D40" s="42">
        <f>J32</f>
        <v>-39.999999999997073</v>
      </c>
      <c r="E40" s="42">
        <f>K32</f>
        <v>0</v>
      </c>
      <c r="G40" s="42">
        <f t="shared" si="3"/>
        <v>625.00000000013927</v>
      </c>
      <c r="H40" s="42">
        <f>B40*C40</f>
        <v>-625</v>
      </c>
      <c r="I40" s="42">
        <f>B40*D40</f>
        <v>-1000.0000000000382</v>
      </c>
      <c r="J40" s="42">
        <f>B40*E40</f>
        <v>0</v>
      </c>
      <c r="K40" s="42">
        <f>C40*D40</f>
        <v>999.99999999981537</v>
      </c>
      <c r="L40" s="42">
        <f>C40*E40</f>
        <v>0</v>
      </c>
      <c r="M40" s="42">
        <f>D40*E40</f>
        <v>0</v>
      </c>
      <c r="S40" s="50"/>
      <c r="T40" s="50"/>
    </row>
    <row r="41" spans="2:20">
      <c r="B41" s="101">
        <f>F33</f>
        <v>40.000000000002927</v>
      </c>
      <c r="C41" s="101">
        <f>I33</f>
        <v>25.000000000002785</v>
      </c>
      <c r="D41" s="101">
        <f>J33</f>
        <v>-24.999999999997215</v>
      </c>
      <c r="E41" s="101">
        <f>K33</f>
        <v>-39.999999999997073</v>
      </c>
      <c r="G41" s="101">
        <f t="shared" si="3"/>
        <v>1600.0000000002342</v>
      </c>
      <c r="H41" s="101">
        <f>B41*C41</f>
        <v>1000.0000000001846</v>
      </c>
      <c r="I41" s="101">
        <f>B41*D41</f>
        <v>-999.9999999999618</v>
      </c>
      <c r="J41" s="101">
        <f>B41*E41</f>
        <v>-1600</v>
      </c>
      <c r="K41" s="101">
        <f>C41*D41</f>
        <v>-625</v>
      </c>
      <c r="L41" s="101">
        <f>C41*E41</f>
        <v>-1000.0000000000382</v>
      </c>
      <c r="M41" s="101">
        <f>D41*E41</f>
        <v>999.99999999981537</v>
      </c>
      <c r="S41" s="50"/>
      <c r="T41" s="50"/>
    </row>
    <row r="42" spans="2:20">
      <c r="B42" s="50"/>
      <c r="C42" s="50"/>
      <c r="D42" s="50"/>
      <c r="E42" s="50"/>
      <c r="G42" s="50"/>
      <c r="H42" s="50"/>
      <c r="I42" s="50"/>
      <c r="J42" s="50"/>
      <c r="K42" s="50"/>
      <c r="L42" s="50"/>
      <c r="S42" s="50"/>
      <c r="T42" s="50"/>
    </row>
    <row r="43" spans="2:20">
      <c r="S43" s="50"/>
      <c r="T43" s="50"/>
    </row>
    <row r="44" spans="2:20">
      <c r="B44" s="46" t="s">
        <v>247</v>
      </c>
      <c r="E44" s="46" t="s">
        <v>231</v>
      </c>
      <c r="H44" s="46" t="s">
        <v>230</v>
      </c>
      <c r="K44" s="46" t="s">
        <v>229</v>
      </c>
      <c r="M44" s="46"/>
    </row>
    <row r="45" spans="2:20">
      <c r="B45" s="104">
        <f>D30</f>
        <v>1</v>
      </c>
      <c r="C45" s="105">
        <f>E30</f>
        <v>500</v>
      </c>
      <c r="E45" s="104">
        <v>0</v>
      </c>
      <c r="F45" s="105">
        <v>0</v>
      </c>
      <c r="H45" s="104">
        <v>0</v>
      </c>
      <c r="I45" s="105">
        <v>0</v>
      </c>
      <c r="K45" s="104">
        <v>0</v>
      </c>
      <c r="L45" s="105">
        <v>0</v>
      </c>
    </row>
    <row r="46" spans="2:20">
      <c r="B46" s="40">
        <f>D31</f>
        <v>1</v>
      </c>
      <c r="C46" s="41">
        <f>E31</f>
        <v>600</v>
      </c>
      <c r="E46" s="40">
        <f>D31</f>
        <v>1</v>
      </c>
      <c r="F46" s="41">
        <f>E31</f>
        <v>600</v>
      </c>
      <c r="H46" s="40">
        <v>0</v>
      </c>
      <c r="I46" s="41">
        <v>0</v>
      </c>
      <c r="K46" s="40">
        <v>0</v>
      </c>
      <c r="L46" s="41">
        <v>0</v>
      </c>
    </row>
    <row r="47" spans="2:20">
      <c r="B47" s="40">
        <f>D32</f>
        <v>1</v>
      </c>
      <c r="C47" s="41">
        <f>E32</f>
        <v>600</v>
      </c>
      <c r="E47" s="40">
        <f>D32</f>
        <v>1</v>
      </c>
      <c r="F47" s="41">
        <f>E32</f>
        <v>600</v>
      </c>
      <c r="H47" s="40">
        <f>D32</f>
        <v>1</v>
      </c>
      <c r="I47" s="41">
        <f>E32</f>
        <v>600</v>
      </c>
      <c r="K47" s="40">
        <v>0</v>
      </c>
      <c r="L47" s="41">
        <v>0</v>
      </c>
    </row>
    <row r="48" spans="2:20">
      <c r="B48" s="106">
        <f>D33</f>
        <v>1</v>
      </c>
      <c r="C48" s="107">
        <f>E33</f>
        <v>500</v>
      </c>
      <c r="E48" s="106">
        <f>D33</f>
        <v>1</v>
      </c>
      <c r="F48" s="107">
        <f>E33</f>
        <v>500</v>
      </c>
      <c r="H48" s="106">
        <f>D33</f>
        <v>1</v>
      </c>
      <c r="I48" s="107">
        <f>E33</f>
        <v>500</v>
      </c>
      <c r="K48" s="106">
        <f>D33</f>
        <v>1</v>
      </c>
      <c r="L48" s="107">
        <f>E33</f>
        <v>500</v>
      </c>
    </row>
    <row r="52" spans="2:15">
      <c r="B52" s="37" t="s">
        <v>241</v>
      </c>
    </row>
    <row r="53" spans="2:15">
      <c r="B53" s="30">
        <f>H38</f>
        <v>0</v>
      </c>
      <c r="C53" s="50">
        <v>0</v>
      </c>
      <c r="D53" s="50">
        <v>0</v>
      </c>
      <c r="E53" s="41">
        <v>0</v>
      </c>
      <c r="G53" s="37" t="s">
        <v>242</v>
      </c>
      <c r="L53" s="37" t="s">
        <v>243</v>
      </c>
      <c r="M53" s="50"/>
      <c r="N53" s="50"/>
      <c r="O53" s="50"/>
    </row>
    <row r="54" spans="2:15">
      <c r="B54" s="40">
        <v>0</v>
      </c>
      <c r="C54" s="30">
        <f>H39</f>
        <v>999.99999999981537</v>
      </c>
      <c r="D54" s="50">
        <v>0</v>
      </c>
      <c r="E54" s="41">
        <v>0</v>
      </c>
      <c r="G54" s="30">
        <f>I38</f>
        <v>0</v>
      </c>
      <c r="H54" s="50">
        <v>0</v>
      </c>
      <c r="I54" s="50">
        <v>0</v>
      </c>
      <c r="J54" s="41">
        <v>0</v>
      </c>
      <c r="L54" s="30">
        <f>J38</f>
        <v>0</v>
      </c>
      <c r="M54" s="50">
        <v>0</v>
      </c>
      <c r="N54" s="50">
        <v>0</v>
      </c>
      <c r="O54" s="41">
        <v>0</v>
      </c>
    </row>
    <row r="55" spans="2:15">
      <c r="B55" s="40">
        <v>0</v>
      </c>
      <c r="C55" s="50">
        <v>0</v>
      </c>
      <c r="D55" s="30">
        <f>H40</f>
        <v>-625</v>
      </c>
      <c r="E55" s="41">
        <v>0</v>
      </c>
      <c r="G55" s="40">
        <v>0</v>
      </c>
      <c r="H55" s="30">
        <f>I39</f>
        <v>0</v>
      </c>
      <c r="I55" s="50">
        <v>0</v>
      </c>
      <c r="J55" s="41">
        <v>0</v>
      </c>
      <c r="L55" s="40">
        <v>0</v>
      </c>
      <c r="M55" s="30">
        <f>J39</f>
        <v>0</v>
      </c>
      <c r="N55" s="50">
        <v>0</v>
      </c>
      <c r="O55" s="41">
        <v>0</v>
      </c>
    </row>
    <row r="56" spans="2:15">
      <c r="B56" s="40">
        <v>0</v>
      </c>
      <c r="C56" s="50">
        <v>0</v>
      </c>
      <c r="D56" s="50">
        <v>0</v>
      </c>
      <c r="E56" s="30">
        <f>H41</f>
        <v>1000.0000000001846</v>
      </c>
      <c r="G56" s="40">
        <v>0</v>
      </c>
      <c r="H56" s="50">
        <v>0</v>
      </c>
      <c r="I56" s="30">
        <f>I40</f>
        <v>-1000.0000000000382</v>
      </c>
      <c r="J56" s="41">
        <v>0</v>
      </c>
      <c r="L56" s="40">
        <v>0</v>
      </c>
      <c r="M56" s="50">
        <v>0</v>
      </c>
      <c r="N56" s="30">
        <f>J40</f>
        <v>0</v>
      </c>
      <c r="O56" s="41">
        <v>0</v>
      </c>
    </row>
    <row r="57" spans="2:15">
      <c r="G57" s="40">
        <v>0</v>
      </c>
      <c r="H57" s="50">
        <v>0</v>
      </c>
      <c r="I57" s="50">
        <v>0</v>
      </c>
      <c r="J57" s="30">
        <f>I41</f>
        <v>-999.9999999999618</v>
      </c>
      <c r="L57" s="40">
        <v>0</v>
      </c>
      <c r="M57" s="50">
        <v>0</v>
      </c>
      <c r="N57" s="50">
        <v>0</v>
      </c>
      <c r="O57" s="30">
        <f>J41</f>
        <v>-1600</v>
      </c>
    </row>
    <row r="59" spans="2:15">
      <c r="B59" s="37" t="s">
        <v>244</v>
      </c>
      <c r="C59" s="50"/>
      <c r="D59" s="50"/>
      <c r="E59" s="50"/>
      <c r="L59" s="50"/>
    </row>
    <row r="60" spans="2:15">
      <c r="B60" s="30">
        <f>K38</f>
        <v>0</v>
      </c>
      <c r="C60" s="50">
        <v>0</v>
      </c>
      <c r="D60" s="50">
        <v>0</v>
      </c>
      <c r="E60" s="41">
        <v>0</v>
      </c>
      <c r="G60" s="37" t="s">
        <v>245</v>
      </c>
      <c r="H60" s="50"/>
      <c r="I60" s="50"/>
      <c r="J60" s="50"/>
      <c r="L60" s="37" t="s">
        <v>246</v>
      </c>
      <c r="M60" s="50"/>
      <c r="N60" s="50"/>
      <c r="O60" s="50"/>
    </row>
    <row r="61" spans="2:15">
      <c r="B61" s="40">
        <v>0</v>
      </c>
      <c r="C61" s="30">
        <f>K39</f>
        <v>0</v>
      </c>
      <c r="D61" s="50">
        <v>0</v>
      </c>
      <c r="E61" s="41">
        <v>0</v>
      </c>
      <c r="G61" s="30">
        <f>L38</f>
        <v>0</v>
      </c>
      <c r="H61" s="50">
        <v>0</v>
      </c>
      <c r="I61" s="50">
        <v>0</v>
      </c>
      <c r="J61" s="41">
        <v>0</v>
      </c>
      <c r="L61" s="30">
        <f>M38</f>
        <v>0</v>
      </c>
      <c r="M61" s="50">
        <v>0</v>
      </c>
      <c r="N61" s="50">
        <v>0</v>
      </c>
      <c r="O61" s="41">
        <v>0</v>
      </c>
    </row>
    <row r="62" spans="2:15">
      <c r="B62" s="40">
        <v>0</v>
      </c>
      <c r="C62" s="50">
        <v>0</v>
      </c>
      <c r="D62" s="30">
        <f>K40</f>
        <v>999.99999999981537</v>
      </c>
      <c r="E62" s="41">
        <v>0</v>
      </c>
      <c r="G62" s="40">
        <v>0</v>
      </c>
      <c r="H62" s="30">
        <f>L39</f>
        <v>0</v>
      </c>
      <c r="I62" s="50">
        <v>0</v>
      </c>
      <c r="J62" s="41">
        <v>0</v>
      </c>
      <c r="L62" s="40">
        <v>0</v>
      </c>
      <c r="M62" s="30">
        <f>M39</f>
        <v>0</v>
      </c>
      <c r="N62" s="50">
        <v>0</v>
      </c>
      <c r="O62" s="41">
        <v>0</v>
      </c>
    </row>
    <row r="63" spans="2:15">
      <c r="B63" s="40">
        <v>0</v>
      </c>
      <c r="C63" s="50">
        <v>0</v>
      </c>
      <c r="D63" s="50">
        <v>0</v>
      </c>
      <c r="E63" s="30">
        <f>K41</f>
        <v>-625</v>
      </c>
      <c r="G63" s="40">
        <v>0</v>
      </c>
      <c r="H63" s="50">
        <v>0</v>
      </c>
      <c r="I63" s="30">
        <f>L40</f>
        <v>0</v>
      </c>
      <c r="J63" s="41">
        <v>0</v>
      </c>
      <c r="L63" s="40">
        <v>0</v>
      </c>
      <c r="M63" s="50">
        <v>0</v>
      </c>
      <c r="N63" s="30">
        <f>M40</f>
        <v>0</v>
      </c>
      <c r="O63" s="41">
        <v>0</v>
      </c>
    </row>
    <row r="64" spans="2:15">
      <c r="G64" s="40">
        <v>0</v>
      </c>
      <c r="H64" s="50">
        <v>0</v>
      </c>
      <c r="I64" s="50">
        <v>0</v>
      </c>
      <c r="J64" s="30">
        <f>L41</f>
        <v>-1000.0000000000382</v>
      </c>
      <c r="L64" s="40">
        <v>0</v>
      </c>
      <c r="M64" s="50">
        <v>0</v>
      </c>
      <c r="N64" s="50">
        <v>0</v>
      </c>
      <c r="O64" s="30">
        <f>M41</f>
        <v>999.99999999981537</v>
      </c>
    </row>
    <row r="66" spans="2:12">
      <c r="B66" s="37" t="s">
        <v>254</v>
      </c>
      <c r="C66" s="50"/>
      <c r="D66" s="50"/>
      <c r="E66" s="50"/>
    </row>
    <row r="67" spans="2:12">
      <c r="B67" s="30">
        <f>G38</f>
        <v>1599.9999999997658</v>
      </c>
      <c r="C67" s="50">
        <v>0</v>
      </c>
      <c r="D67" s="50">
        <v>0</v>
      </c>
      <c r="E67" s="41">
        <v>0</v>
      </c>
    </row>
    <row r="68" spans="2:12">
      <c r="B68" s="40">
        <v>0</v>
      </c>
      <c r="C68" s="30">
        <f>G39</f>
        <v>624.99999999986073</v>
      </c>
      <c r="D68" s="50">
        <v>0</v>
      </c>
      <c r="E68" s="41">
        <v>0</v>
      </c>
      <c r="G68" s="50"/>
      <c r="H68" s="50"/>
      <c r="I68" s="50"/>
      <c r="J68" s="50"/>
      <c r="K68" s="50"/>
      <c r="L68" s="50"/>
    </row>
    <row r="69" spans="2:12">
      <c r="B69" s="40">
        <v>0</v>
      </c>
      <c r="C69" s="50">
        <v>0</v>
      </c>
      <c r="D69" s="30">
        <f>G40</f>
        <v>625.00000000013927</v>
      </c>
      <c r="E69" s="41">
        <v>0</v>
      </c>
      <c r="G69" s="50"/>
      <c r="H69" s="50"/>
      <c r="I69" s="50"/>
      <c r="J69" s="50"/>
      <c r="K69" s="50"/>
      <c r="L69" s="50"/>
    </row>
    <row r="70" spans="2:12">
      <c r="B70" s="40">
        <v>0</v>
      </c>
      <c r="C70" s="50">
        <v>0</v>
      </c>
      <c r="D70" s="50">
        <v>0</v>
      </c>
      <c r="E70" s="30">
        <f>G41</f>
        <v>1600.0000000002342</v>
      </c>
      <c r="G70" s="50"/>
      <c r="H70" s="50"/>
      <c r="I70" s="50"/>
      <c r="J70" s="50"/>
      <c r="K70" s="50"/>
      <c r="L70" s="50"/>
    </row>
    <row r="71" spans="2:12">
      <c r="G71" s="50"/>
      <c r="H71" s="50"/>
      <c r="I71" s="50"/>
      <c r="J71" s="50"/>
      <c r="K71" s="50"/>
      <c r="L71" s="50"/>
    </row>
    <row r="72" spans="2:12">
      <c r="L72" s="50"/>
    </row>
    <row r="73" spans="2:12">
      <c r="B73" s="46" t="s">
        <v>248</v>
      </c>
      <c r="E73" s="46" t="s">
        <v>249</v>
      </c>
      <c r="H73" s="69" t="s">
        <v>250</v>
      </c>
      <c r="I73" s="50"/>
      <c r="J73" s="50"/>
      <c r="K73" s="69" t="s">
        <v>251</v>
      </c>
      <c r="L73" s="50"/>
    </row>
    <row r="74" spans="2:12">
      <c r="B74" s="40">
        <f t="array" ref="B74:C75">MMULT(MMULT(TRANSPOSE(K45:L48),L61:O64),H45:I48)</f>
        <v>999.99999999981537</v>
      </c>
      <c r="C74" s="41">
        <v>499999.99999990768</v>
      </c>
      <c r="E74" s="40">
        <f t="array" ref="E74:F75">MMULT(MMULT(TRANSPOSE(H45:I48),B60:E63),E45:F48)</f>
        <v>374.99999999981537</v>
      </c>
      <c r="F74" s="41">
        <v>287499.99999988917</v>
      </c>
      <c r="H74" s="40">
        <f t="array" ref="H74:I75">MMULT(MMULT(TRANSPOSE(E45:F48),B53:E56),B45:C48)</f>
        <v>1375</v>
      </c>
      <c r="I74" s="41">
        <v>724999.99999998149</v>
      </c>
      <c r="J74" s="50"/>
      <c r="K74" s="40">
        <f t="array" ref="K74:L75">MMULT(MMULT(TRANSPOSE(K45:L48),G61:J64),E45:F48)</f>
        <v>-1000.0000000000382</v>
      </c>
      <c r="L74" s="41">
        <v>-500000.00000001909</v>
      </c>
    </row>
    <row r="75" spans="2:12">
      <c r="B75" s="40">
        <v>499999.99999990768</v>
      </c>
      <c r="C75" s="41">
        <v>249999999.99995384</v>
      </c>
      <c r="E75" s="40">
        <v>287499.99999988917</v>
      </c>
      <c r="F75" s="41">
        <v>203749999.99993348</v>
      </c>
      <c r="H75" s="40">
        <v>724999.99999998149</v>
      </c>
      <c r="I75" s="41">
        <v>384999999.99997962</v>
      </c>
      <c r="J75" s="50"/>
      <c r="K75" s="40">
        <v>-500000.00000001909</v>
      </c>
      <c r="L75" s="41">
        <v>-250000000.00000954</v>
      </c>
    </row>
    <row r="76" spans="2:12">
      <c r="H76" s="50"/>
      <c r="I76" s="50"/>
      <c r="J76" s="50"/>
      <c r="K76" s="50"/>
      <c r="L76" s="50"/>
    </row>
    <row r="77" spans="2:12">
      <c r="B77" s="69" t="s">
        <v>252</v>
      </c>
      <c r="C77" s="50"/>
      <c r="E77" s="121" t="s">
        <v>253</v>
      </c>
      <c r="F77" s="122"/>
    </row>
    <row r="78" spans="2:12">
      <c r="B78" s="40">
        <f t="array" ref="B78:C79">MMULT(MMULT(TRANSPOSE(H45:I48),G54:J57),B45:C48)</f>
        <v>-2000</v>
      </c>
      <c r="C78" s="41">
        <v>-1100000.0000000037</v>
      </c>
      <c r="E78" s="123">
        <f t="array" ref="E78:F79">MMULT(MMULT(TRANSPOSE(K45:L48),L54:O57),B45:C48)</f>
        <v>-1600</v>
      </c>
      <c r="F78" s="124">
        <v>-800000</v>
      </c>
      <c r="G78" s="125" t="s">
        <v>255</v>
      </c>
      <c r="H78" s="125" t="s">
        <v>266</v>
      </c>
    </row>
    <row r="79" spans="2:12">
      <c r="B79" s="40">
        <v>-1100000.0000000037</v>
      </c>
      <c r="C79" s="41">
        <v>-610000000.00000429</v>
      </c>
      <c r="E79" s="123">
        <v>-800000</v>
      </c>
      <c r="F79" s="124">
        <v>-400000000</v>
      </c>
    </row>
    <row r="82" spans="1:36">
      <c r="K82" s="119"/>
      <c r="M82" s="69"/>
      <c r="N82" s="50"/>
    </row>
    <row r="84" spans="1:36" ht="15.75" thickBot="1"/>
    <row r="85" spans="1:36">
      <c r="B85" s="40">
        <f t="array" ref="B85:C86">MMULT(MMULT(TRANSPOSE(B45:C48),B67:E70),B45:C48)</f>
        <v>4450</v>
      </c>
      <c r="C85" s="41">
        <v>2350000</v>
      </c>
      <c r="E85" s="40">
        <f t="array" ref="E85:F86">B85:C86+2*(1/2*(B74:C75+E74:F75+H74:I75)+1/1*(K74:L75+B78:C79))</f>
        <v>1199.9999999995543</v>
      </c>
      <c r="F85" s="41">
        <v>662499.99999973271</v>
      </c>
      <c r="H85" s="117">
        <f t="array" ref="H85:I86">MMULT(MMULT(L11:M12,E85:F86),L11:M12)</f>
        <v>9081.2499999963184</v>
      </c>
      <c r="I85" s="118">
        <v>-16.437499999992806</v>
      </c>
      <c r="K85" s="141">
        <f t="array" ref="K85:L86">4*H85:I86</f>
        <v>36324.999999985273</v>
      </c>
      <c r="L85" s="142">
        <v>-65.749999999971223</v>
      </c>
    </row>
    <row r="86" spans="1:36" ht="15.75" thickBot="1">
      <c r="B86" s="40">
        <v>2350000</v>
      </c>
      <c r="C86" s="41">
        <v>1250000000</v>
      </c>
      <c r="E86" s="40">
        <v>662499.99999973271</v>
      </c>
      <c r="F86" s="41">
        <v>368749999.99983931</v>
      </c>
      <c r="H86" s="117">
        <v>-16.437499999992497</v>
      </c>
      <c r="I86" s="118">
        <v>2.9999999999985365E-2</v>
      </c>
      <c r="K86" s="143">
        <v>-65.749999999969987</v>
      </c>
      <c r="L86" s="144">
        <v>0.11999999999994146</v>
      </c>
    </row>
    <row r="88" spans="1:36">
      <c r="B88" s="50"/>
      <c r="C88" s="50"/>
      <c r="D88" s="50"/>
      <c r="E88" s="50"/>
    </row>
    <row r="89" spans="1:36">
      <c r="I89" s="120">
        <v>35412.5</v>
      </c>
      <c r="J89" s="120">
        <v>-56.625</v>
      </c>
      <c r="L89" s="136"/>
      <c r="M89" s="136"/>
    </row>
    <row r="90" spans="1:36">
      <c r="I90" s="120">
        <v>-56.625</v>
      </c>
      <c r="J90" s="120">
        <v>9.1249999999999998E-2</v>
      </c>
      <c r="L90" s="136"/>
      <c r="M90" s="136"/>
    </row>
    <row r="91" spans="1:36">
      <c r="G91" s="50"/>
      <c r="H91" s="50"/>
      <c r="I91" s="50"/>
      <c r="J91" s="50"/>
      <c r="K91" s="50"/>
      <c r="L91" s="50"/>
    </row>
    <row r="92" spans="1:36">
      <c r="G92" s="50"/>
      <c r="H92" s="50"/>
      <c r="I92" s="50"/>
      <c r="J92" s="50"/>
      <c r="K92" s="50"/>
      <c r="L92" s="50"/>
    </row>
    <row r="94" spans="1:36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</row>
    <row r="96" spans="1:36">
      <c r="F96" s="65"/>
      <c r="G96" s="65"/>
      <c r="H96" s="65"/>
      <c r="I96" s="65"/>
      <c r="J96" s="65"/>
    </row>
    <row r="98" spans="1:15">
      <c r="B98" s="138"/>
      <c r="C98" s="138"/>
      <c r="D98" s="138"/>
      <c r="E98" s="138"/>
      <c r="F98" s="138"/>
      <c r="G98" s="137"/>
      <c r="H98" s="116"/>
      <c r="I98" s="116"/>
      <c r="J98" s="137"/>
      <c r="K98" s="137"/>
      <c r="L98" s="137"/>
      <c r="M98" s="137"/>
      <c r="N98" s="137"/>
      <c r="O98" s="137"/>
    </row>
    <row r="99" spans="1:15">
      <c r="B99" s="138"/>
      <c r="C99" s="138"/>
      <c r="D99" s="138"/>
      <c r="E99" s="138"/>
      <c r="F99" s="138"/>
      <c r="G99" s="137"/>
      <c r="H99" s="116"/>
      <c r="I99" s="116"/>
      <c r="J99" s="137"/>
      <c r="K99" s="137"/>
      <c r="L99" s="137"/>
      <c r="M99" s="137"/>
      <c r="N99" s="137"/>
      <c r="O99" s="137"/>
    </row>
    <row r="100" spans="1:15">
      <c r="B100" s="137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</row>
    <row r="101" spans="1:15">
      <c r="A101" s="36"/>
      <c r="B101" s="137"/>
      <c r="C101" s="137"/>
      <c r="D101" s="137"/>
      <c r="E101" s="137"/>
      <c r="F101" s="137"/>
      <c r="G101" s="137"/>
      <c r="H101" s="137"/>
      <c r="I101" s="137"/>
      <c r="J101" s="137"/>
      <c r="K101" s="137"/>
      <c r="L101" s="137"/>
      <c r="M101" s="137"/>
      <c r="N101" s="137"/>
      <c r="O101" s="137"/>
    </row>
    <row r="102" spans="1:15">
      <c r="B102" s="137"/>
      <c r="C102" s="137"/>
      <c r="D102" s="137"/>
      <c r="E102" s="137"/>
      <c r="F102" s="137"/>
      <c r="G102" s="137"/>
      <c r="H102" s="137"/>
      <c r="I102" s="137"/>
      <c r="J102" s="137"/>
      <c r="K102" s="137"/>
      <c r="L102" s="137"/>
      <c r="M102" s="137"/>
      <c r="N102" s="137"/>
      <c r="O102" s="137"/>
    </row>
    <row r="103" spans="1:15">
      <c r="B103" s="137"/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</row>
    <row r="104" spans="1:15">
      <c r="B104" s="137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</row>
    <row r="105" spans="1:15">
      <c r="B105" s="137"/>
      <c r="C105" s="137"/>
      <c r="D105" s="137"/>
      <c r="E105" s="137"/>
      <c r="F105" s="137"/>
      <c r="G105" s="137"/>
      <c r="H105" s="137"/>
      <c r="I105" s="137"/>
      <c r="J105" s="137"/>
      <c r="K105" s="137"/>
      <c r="L105" s="137"/>
      <c r="M105" s="137"/>
      <c r="N105" s="137"/>
      <c r="O105" s="137"/>
    </row>
    <row r="106" spans="1:15">
      <c r="B106" s="137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</row>
    <row r="107" spans="1:15" ht="18.75">
      <c r="B107" s="137"/>
      <c r="C107" s="139"/>
      <c r="D107" s="139"/>
      <c r="E107" s="139"/>
      <c r="F107" s="139"/>
      <c r="G107" s="139"/>
      <c r="H107" s="137"/>
      <c r="I107" s="137"/>
      <c r="J107" s="137"/>
      <c r="K107" s="137"/>
      <c r="L107" s="137"/>
      <c r="M107" s="137"/>
      <c r="N107" s="137"/>
      <c r="O107" s="137"/>
    </row>
    <row r="108" spans="1:15" ht="18.75">
      <c r="B108" s="137"/>
      <c r="C108" s="140"/>
      <c r="D108" s="140"/>
      <c r="E108" s="140"/>
      <c r="F108" s="139"/>
      <c r="G108" s="139"/>
      <c r="H108" s="137"/>
      <c r="I108" s="137"/>
      <c r="J108" s="137"/>
      <c r="K108" s="137"/>
      <c r="L108" s="137"/>
      <c r="M108" s="137"/>
      <c r="N108" s="137"/>
      <c r="O108" s="137"/>
    </row>
    <row r="109" spans="1:15" ht="18.75">
      <c r="B109" s="137"/>
      <c r="C109" s="139"/>
      <c r="D109" s="139"/>
      <c r="E109" s="139"/>
      <c r="F109" s="139"/>
      <c r="G109" s="139"/>
      <c r="H109" s="137"/>
      <c r="I109" s="137"/>
      <c r="J109" s="137"/>
      <c r="K109" s="137"/>
      <c r="L109" s="137"/>
      <c r="M109" s="137"/>
      <c r="N109" s="137"/>
      <c r="O109" s="137"/>
    </row>
    <row r="110" spans="1:15">
      <c r="B110" s="137"/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</row>
    <row r="111" spans="1:15">
      <c r="B111" s="137"/>
      <c r="C111" s="137"/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scale="5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B4:U66"/>
  <sheetViews>
    <sheetView topLeftCell="A16" workbookViewId="0">
      <selection activeCell="F49" sqref="F49"/>
    </sheetView>
  </sheetViews>
  <sheetFormatPr defaultRowHeight="15"/>
  <cols>
    <col min="2" max="2" width="12.7109375" bestFit="1" customWidth="1"/>
    <col min="3" max="3" width="18.85546875" bestFit="1" customWidth="1"/>
    <col min="4" max="4" width="12" bestFit="1" customWidth="1"/>
    <col min="6" max="6" width="15.7109375" bestFit="1" customWidth="1"/>
    <col min="7" max="7" width="16.140625" bestFit="1" customWidth="1"/>
    <col min="9" max="9" width="12.42578125" bestFit="1" customWidth="1"/>
    <col min="10" max="10" width="16.140625" bestFit="1" customWidth="1"/>
  </cols>
  <sheetData>
    <row r="4" spans="2:20">
      <c r="E4" s="135" t="s">
        <v>133</v>
      </c>
      <c r="F4">
        <f>INT(4*(3/100)^(2/9))</f>
        <v>1</v>
      </c>
    </row>
    <row r="6" spans="2:20">
      <c r="Q6" s="40">
        <f t="array" ref="Q6:R7">MMULT(TRANSPOSE(C8:D10),C8:D10)</f>
        <v>3</v>
      </c>
      <c r="R6" s="41">
        <v>1700</v>
      </c>
      <c r="S6" s="50"/>
      <c r="T6" s="50"/>
    </row>
    <row r="7" spans="2:20" ht="18.75">
      <c r="B7" s="63" t="s">
        <v>216</v>
      </c>
      <c r="C7" s="63" t="s">
        <v>92</v>
      </c>
      <c r="D7" s="63" t="s">
        <v>217</v>
      </c>
      <c r="E7" s="63" t="s">
        <v>264</v>
      </c>
      <c r="F7" s="63" t="s">
        <v>265</v>
      </c>
      <c r="G7" s="63" t="s">
        <v>155</v>
      </c>
      <c r="H7" s="63" t="s">
        <v>222</v>
      </c>
      <c r="I7" s="63" t="s">
        <v>221</v>
      </c>
      <c r="J7" s="63" t="s">
        <v>223</v>
      </c>
      <c r="K7" s="63" t="s">
        <v>224</v>
      </c>
      <c r="L7" s="80"/>
      <c r="M7" s="80"/>
      <c r="N7" s="80"/>
      <c r="P7" s="38" t="s">
        <v>93</v>
      </c>
      <c r="Q7" s="40">
        <v>1700</v>
      </c>
      <c r="R7" s="41">
        <v>970000</v>
      </c>
      <c r="S7" s="50"/>
      <c r="T7" s="50"/>
    </row>
    <row r="8" spans="2:20">
      <c r="B8">
        <f>B17</f>
        <v>100</v>
      </c>
      <c r="C8">
        <v>1</v>
      </c>
      <c r="D8">
        <f>C17</f>
        <v>500</v>
      </c>
      <c r="E8">
        <f>(B8-Q$20-Q$21*D8)</f>
        <v>3.5242919693700969E-12</v>
      </c>
      <c r="F8">
        <f>E8^2</f>
        <v>1.2420633885366556E-23</v>
      </c>
      <c r="G8">
        <f>(B8-T$15)^2</f>
        <v>2500</v>
      </c>
      <c r="P8" s="38"/>
      <c r="Q8" s="50"/>
      <c r="R8" s="50"/>
      <c r="S8" s="50"/>
      <c r="T8" s="50"/>
    </row>
    <row r="9" spans="2:20">
      <c r="B9">
        <f>B18</f>
        <v>150</v>
      </c>
      <c r="C9">
        <v>1</v>
      </c>
      <c r="D9">
        <f>C18</f>
        <v>600</v>
      </c>
      <c r="E9">
        <f t="shared" ref="E9:E10" si="0">(B9-Q$20-Q$21*D9)</f>
        <v>-24.999999999995737</v>
      </c>
      <c r="F9">
        <f t="shared" ref="F9:F10" si="1">E9^2</f>
        <v>624.99999999978684</v>
      </c>
      <c r="G9">
        <f t="shared" ref="G9:G10" si="2">(B9-T$15)^2</f>
        <v>0</v>
      </c>
      <c r="H9">
        <f>E8</f>
        <v>3.5242919693700969E-12</v>
      </c>
      <c r="Q9" s="50"/>
      <c r="R9" s="50"/>
      <c r="S9" s="50"/>
      <c r="T9" s="50"/>
    </row>
    <row r="10" spans="2:20">
      <c r="B10">
        <f>B19</f>
        <v>200</v>
      </c>
      <c r="C10">
        <v>1</v>
      </c>
      <c r="D10">
        <f>C19</f>
        <v>600</v>
      </c>
      <c r="E10">
        <f t="shared" si="0"/>
        <v>25.000000000004263</v>
      </c>
      <c r="F10">
        <f t="shared" si="1"/>
        <v>625.00000000021316</v>
      </c>
      <c r="G10">
        <f t="shared" si="2"/>
        <v>2500</v>
      </c>
      <c r="H10">
        <f>E9</f>
        <v>-24.999999999995737</v>
      </c>
      <c r="I10">
        <f>E8</f>
        <v>3.5242919693700969E-12</v>
      </c>
      <c r="Q10" s="50"/>
      <c r="R10" s="50"/>
      <c r="S10" s="50"/>
      <c r="T10" s="50"/>
    </row>
    <row r="11" spans="2:20" ht="17.25">
      <c r="E11" s="53">
        <f>SUM(E8:E10)</f>
        <v>1.2050804798491299E-11</v>
      </c>
      <c r="F11" s="53">
        <f>SUM(F8:F10)</f>
        <v>1250</v>
      </c>
      <c r="G11" s="53">
        <f>SUM(G8:G10)</f>
        <v>5000</v>
      </c>
      <c r="H11" s="53">
        <f t="shared" ref="H11:I11" si="3">SUM(H8:H10)</f>
        <v>-24.999999999992212</v>
      </c>
      <c r="I11" s="53">
        <f t="shared" si="3"/>
        <v>3.5242919693700969E-12</v>
      </c>
      <c r="J11" s="53">
        <f t="shared" ref="J11:K11" si="4">SUM(J8:J10)</f>
        <v>0</v>
      </c>
      <c r="K11" s="53">
        <f t="shared" si="4"/>
        <v>0</v>
      </c>
      <c r="L11" s="69"/>
      <c r="M11" s="69"/>
      <c r="N11" s="69"/>
      <c r="P11" s="38" t="s">
        <v>94</v>
      </c>
      <c r="Q11" s="40">
        <f t="array" ref="Q11:R12">MINVERSE(Q6:R7)</f>
        <v>48.500000000000057</v>
      </c>
      <c r="R11" s="41">
        <v>-8.5000000000000103E-2</v>
      </c>
      <c r="S11" s="50"/>
      <c r="T11" s="50"/>
    </row>
    <row r="12" spans="2:20">
      <c r="Q12" s="40">
        <v>-8.5000000000000103E-2</v>
      </c>
      <c r="R12" s="41">
        <v>1.5000000000000018E-4</v>
      </c>
      <c r="S12" s="50"/>
      <c r="T12" s="50"/>
    </row>
    <row r="13" spans="2:20">
      <c r="Q13" s="50"/>
      <c r="R13" s="50"/>
      <c r="S13" s="50"/>
      <c r="T13" s="50"/>
    </row>
    <row r="14" spans="2:20">
      <c r="Q14" s="50"/>
      <c r="R14" s="50"/>
      <c r="S14" s="50"/>
      <c r="T14" s="50"/>
    </row>
    <row r="15" spans="2:20">
      <c r="B15" s="46" t="s">
        <v>219</v>
      </c>
      <c r="P15" s="38" t="s">
        <v>95</v>
      </c>
      <c r="Q15" s="42">
        <f t="array" ref="Q15:Q16">MMULT(TRANSPOSE(C8:D10),B8:B10)</f>
        <v>450</v>
      </c>
      <c r="R15" s="50"/>
      <c r="S15" s="64" t="s">
        <v>199</v>
      </c>
      <c r="T15" s="50">
        <f>AVERAGE(B8:B10)</f>
        <v>150</v>
      </c>
    </row>
    <row r="16" spans="2:20">
      <c r="B16" s="63" t="s">
        <v>216</v>
      </c>
      <c r="C16" s="63" t="s">
        <v>217</v>
      </c>
      <c r="Q16" s="42">
        <v>260000</v>
      </c>
      <c r="R16" s="50"/>
      <c r="S16" s="64" t="s">
        <v>218</v>
      </c>
      <c r="T16" s="50">
        <f>1-F11/G11</f>
        <v>0.75</v>
      </c>
    </row>
    <row r="17" spans="2:21">
      <c r="B17">
        <v>100</v>
      </c>
      <c r="C17">
        <v>500</v>
      </c>
      <c r="Q17" s="50"/>
      <c r="R17" s="50"/>
      <c r="S17" s="61" t="s">
        <v>114</v>
      </c>
      <c r="T17" s="50">
        <f>(F11/(3-2))^0.5</f>
        <v>35.355339059327378</v>
      </c>
    </row>
    <row r="18" spans="2:21">
      <c r="B18">
        <v>150</v>
      </c>
      <c r="C18">
        <v>600</v>
      </c>
      <c r="Q18" s="50"/>
      <c r="R18" s="50"/>
      <c r="S18" s="50"/>
      <c r="T18" s="50"/>
    </row>
    <row r="19" spans="2:21">
      <c r="B19">
        <v>200</v>
      </c>
      <c r="C19">
        <v>600</v>
      </c>
      <c r="F19" s="46" t="s">
        <v>228</v>
      </c>
      <c r="Q19" s="50"/>
      <c r="R19" s="50"/>
      <c r="S19" s="50"/>
      <c r="T19" s="50"/>
    </row>
    <row r="20" spans="2:21">
      <c r="P20" s="39" t="s">
        <v>96</v>
      </c>
      <c r="Q20" s="42">
        <f t="array" ref="Q20:Q21">MMULT(Q11:R12,Q15:Q16)</f>
        <v>-275</v>
      </c>
      <c r="R20" s="50"/>
      <c r="S20" s="50"/>
      <c r="T20" s="50"/>
    </row>
    <row r="21" spans="2:21">
      <c r="Q21" s="42">
        <v>0.74999999999999289</v>
      </c>
      <c r="R21" s="50"/>
      <c r="S21" s="50"/>
      <c r="T21" s="50"/>
    </row>
    <row r="22" spans="2:21">
      <c r="B22" s="28" t="s">
        <v>227</v>
      </c>
      <c r="C22" s="28" t="s">
        <v>226</v>
      </c>
      <c r="D22" s="28" t="s">
        <v>225</v>
      </c>
      <c r="F22" s="28" t="s">
        <v>237</v>
      </c>
      <c r="G22" s="28" t="s">
        <v>238</v>
      </c>
      <c r="H22" s="28" t="s">
        <v>239</v>
      </c>
    </row>
    <row r="23" spans="2:21">
      <c r="B23" s="100">
        <f>E8</f>
        <v>3.5242919693700969E-12</v>
      </c>
      <c r="C23" s="128">
        <f>H8</f>
        <v>0</v>
      </c>
      <c r="D23" s="102">
        <f>I8</f>
        <v>0</v>
      </c>
      <c r="F23" s="100">
        <f>B23*C23</f>
        <v>0</v>
      </c>
      <c r="G23" s="102">
        <f>B23*D23</f>
        <v>0</v>
      </c>
      <c r="H23" s="102">
        <f>C23*D23</f>
        <v>0</v>
      </c>
    </row>
    <row r="24" spans="2:21">
      <c r="B24" s="42">
        <f t="shared" ref="B24:B25" si="5">E9</f>
        <v>-24.999999999995737</v>
      </c>
      <c r="C24" s="41">
        <f t="shared" ref="C24:C25" si="6">H9</f>
        <v>3.5242919693700969E-12</v>
      </c>
      <c r="D24" s="103">
        <f>I9</f>
        <v>0</v>
      </c>
      <c r="F24" s="42">
        <f>B24*C24</f>
        <v>-8.8107299234237405E-11</v>
      </c>
      <c r="G24" s="42">
        <f>B24*D24</f>
        <v>0</v>
      </c>
      <c r="H24" s="103">
        <f>C24*D24</f>
        <v>0</v>
      </c>
      <c r="P24" s="38" t="s">
        <v>220</v>
      </c>
      <c r="Q24" s="40">
        <f t="array" ref="Q24:R25">Q11:R12*T17^2</f>
        <v>60625.000000000073</v>
      </c>
      <c r="R24" s="41">
        <v>-106.25000000000013</v>
      </c>
    </row>
    <row r="25" spans="2:21">
      <c r="B25" s="101">
        <f t="shared" si="5"/>
        <v>25.000000000004263</v>
      </c>
      <c r="C25" s="107">
        <f t="shared" si="6"/>
        <v>-24.999999999995737</v>
      </c>
      <c r="D25" s="101">
        <f>I10</f>
        <v>3.5242919693700969E-12</v>
      </c>
      <c r="F25" s="101">
        <f>B25*C25</f>
        <v>-625</v>
      </c>
      <c r="G25" s="101">
        <f>B25*D25</f>
        <v>8.8107299234267442E-11</v>
      </c>
      <c r="H25" s="101">
        <f>C25*D25</f>
        <v>-8.8107299234237405E-11</v>
      </c>
      <c r="Q25" s="40">
        <v>-106.25000000000013</v>
      </c>
      <c r="R25" s="41">
        <v>0.18750000000000022</v>
      </c>
    </row>
    <row r="26" spans="2:21">
      <c r="B26" s="50"/>
      <c r="C26" s="50"/>
      <c r="D26" s="50"/>
      <c r="F26" s="37" t="s">
        <v>232</v>
      </c>
      <c r="G26" s="37" t="s">
        <v>232</v>
      </c>
      <c r="H26" s="37" t="s">
        <v>232</v>
      </c>
      <c r="Q26" s="50"/>
      <c r="R26" s="50"/>
      <c r="T26" s="116"/>
      <c r="U26" s="116"/>
    </row>
    <row r="27" spans="2:21" ht="18">
      <c r="B27" s="50"/>
      <c r="C27" s="50"/>
      <c r="D27" s="50"/>
      <c r="P27" s="38" t="s">
        <v>236</v>
      </c>
      <c r="Q27" s="114">
        <f t="array" ref="Q27:R28">H55:I56</f>
        <v>11718.749999996115</v>
      </c>
      <c r="R27" s="115">
        <v>-23.437499999992326</v>
      </c>
      <c r="T27" s="116"/>
      <c r="U27" s="116"/>
    </row>
    <row r="28" spans="2:21">
      <c r="Q28" s="114">
        <v>-23.437499999992667</v>
      </c>
      <c r="R28" s="115">
        <v>4.6874999999985512E-2</v>
      </c>
      <c r="T28" s="116"/>
      <c r="U28" s="116"/>
    </row>
    <row r="29" spans="2:21">
      <c r="B29" s="108" t="s">
        <v>237</v>
      </c>
      <c r="F29" s="37" t="s">
        <v>231</v>
      </c>
      <c r="I29" s="46" t="s">
        <v>230</v>
      </c>
      <c r="L29" s="46" t="s">
        <v>229</v>
      </c>
      <c r="Q29" s="50"/>
      <c r="R29" s="50"/>
      <c r="T29" s="116"/>
      <c r="U29" s="116"/>
    </row>
    <row r="30" spans="2:21">
      <c r="B30" s="30">
        <f>F23</f>
        <v>0</v>
      </c>
      <c r="C30" s="50">
        <v>0</v>
      </c>
      <c r="D30" s="41">
        <v>0</v>
      </c>
      <c r="F30" s="104">
        <v>1</v>
      </c>
      <c r="G30" s="105">
        <v>500</v>
      </c>
      <c r="I30" s="104">
        <v>0</v>
      </c>
      <c r="J30" s="105">
        <v>0</v>
      </c>
      <c r="L30" s="104">
        <v>0</v>
      </c>
      <c r="M30" s="105">
        <v>0</v>
      </c>
      <c r="N30" s="50"/>
      <c r="Q30" s="50"/>
      <c r="R30" s="50"/>
      <c r="T30" s="116"/>
      <c r="U30" s="116"/>
    </row>
    <row r="31" spans="2:21">
      <c r="B31" s="40">
        <v>0</v>
      </c>
      <c r="C31" s="30">
        <f>F24</f>
        <v>-8.8107299234237405E-11</v>
      </c>
      <c r="D31" s="41">
        <v>0</v>
      </c>
      <c r="F31" s="40">
        <v>1</v>
      </c>
      <c r="G31" s="41">
        <v>600</v>
      </c>
      <c r="I31" s="40">
        <v>1</v>
      </c>
      <c r="J31" s="41">
        <v>600</v>
      </c>
      <c r="L31" s="40">
        <v>0</v>
      </c>
      <c r="M31" s="41">
        <v>0</v>
      </c>
      <c r="N31" s="50"/>
    </row>
    <row r="32" spans="2:21">
      <c r="B32" s="40">
        <v>0</v>
      </c>
      <c r="C32" s="50">
        <v>0</v>
      </c>
      <c r="D32" s="30">
        <f>F25</f>
        <v>-625</v>
      </c>
      <c r="F32" s="106">
        <v>1</v>
      </c>
      <c r="G32" s="107">
        <v>600</v>
      </c>
      <c r="I32" s="106">
        <v>1</v>
      </c>
      <c r="J32" s="107">
        <v>600</v>
      </c>
      <c r="L32" s="106">
        <v>1</v>
      </c>
      <c r="M32" s="107">
        <v>600</v>
      </c>
      <c r="N32" s="50"/>
    </row>
    <row r="33" spans="2:12">
      <c r="C33" s="37" t="s">
        <v>234</v>
      </c>
      <c r="F33" s="37" t="s">
        <v>233</v>
      </c>
      <c r="I33" s="37" t="s">
        <v>233</v>
      </c>
      <c r="L33" s="37" t="s">
        <v>233</v>
      </c>
    </row>
    <row r="35" spans="2:12">
      <c r="B35" s="108" t="s">
        <v>239</v>
      </c>
      <c r="D35" s="50"/>
    </row>
    <row r="36" spans="2:12">
      <c r="B36" s="30">
        <f>H23</f>
        <v>0</v>
      </c>
      <c r="C36" s="50">
        <v>0</v>
      </c>
      <c r="D36" s="41">
        <v>0</v>
      </c>
      <c r="E36" s="50"/>
      <c r="F36" s="109">
        <f t="array" ref="F36:G37">MMULT(MMULT(TRANSPOSE(L30:M32),B36:D38),I30:J32)</f>
        <v>-8.8107299234237405E-11</v>
      </c>
      <c r="G36" s="110">
        <v>-5.2864379540542441E-8</v>
      </c>
      <c r="H36" s="65"/>
      <c r="I36" s="109">
        <f t="array" ref="I36:J37">MMULT(MMULT(TRANSPOSE(I30:J32),B36:D38),L30:M32)</f>
        <v>-8.8107299234237405E-11</v>
      </c>
      <c r="J36" s="110">
        <v>-5.2864379540542441E-8</v>
      </c>
    </row>
    <row r="37" spans="2:12">
      <c r="B37" s="40">
        <v>0</v>
      </c>
      <c r="C37" s="30">
        <f>H24</f>
        <v>0</v>
      </c>
      <c r="D37" s="41">
        <v>0</v>
      </c>
      <c r="E37" s="50"/>
      <c r="F37" s="109">
        <v>-5.2864379540542441E-8</v>
      </c>
      <c r="G37" s="110">
        <v>-3.1718627724325465E-5</v>
      </c>
      <c r="H37" s="65"/>
      <c r="I37" s="109">
        <v>-5.2864379540542441E-8</v>
      </c>
      <c r="J37" s="110">
        <v>-3.1718627724325465E-5</v>
      </c>
    </row>
    <row r="38" spans="2:12">
      <c r="B38" s="40">
        <v>0</v>
      </c>
      <c r="C38" s="50">
        <v>0</v>
      </c>
      <c r="D38" s="30">
        <f>H25</f>
        <v>-8.8107299234237405E-11</v>
      </c>
      <c r="E38" s="50"/>
      <c r="F38" s="111"/>
      <c r="G38" s="111"/>
      <c r="H38" s="65"/>
      <c r="I38" s="65"/>
      <c r="J38" s="65"/>
    </row>
    <row r="39" spans="2:12">
      <c r="C39" s="37" t="s">
        <v>234</v>
      </c>
      <c r="E39" s="50"/>
      <c r="F39" s="111"/>
      <c r="G39" s="111"/>
      <c r="H39" s="65"/>
      <c r="I39" s="65"/>
      <c r="J39" s="65"/>
    </row>
    <row r="40" spans="2:12">
      <c r="F40" s="109">
        <f t="array" ref="F40:G41">MMULT(MMULT(TRANSPOSE(I30:J32),B30:D32),F30:G32)</f>
        <v>-625.00000000008811</v>
      </c>
      <c r="G40" s="110">
        <v>-375000.00000005285</v>
      </c>
      <c r="H40" s="65"/>
      <c r="I40" s="109">
        <f t="array" ref="I40:J41">MMULT(MMULT(TRANSPOSE(F30:G32),B30:D32),I30:J32)</f>
        <v>-625.00000000008811</v>
      </c>
      <c r="J40" s="110">
        <v>-375000.00000005285</v>
      </c>
    </row>
    <row r="41" spans="2:12">
      <c r="B41" s="108" t="s">
        <v>238</v>
      </c>
      <c r="F41" s="109">
        <v>-375000.00000005285</v>
      </c>
      <c r="G41" s="110">
        <v>-225000000.00003171</v>
      </c>
      <c r="H41" s="65"/>
      <c r="I41" s="109">
        <v>-375000.00000005285</v>
      </c>
      <c r="J41" s="110">
        <v>-225000000.00003171</v>
      </c>
    </row>
    <row r="42" spans="2:12">
      <c r="B42" s="30">
        <f>G23</f>
        <v>0</v>
      </c>
      <c r="C42" s="50">
        <v>0</v>
      </c>
      <c r="D42" s="41">
        <v>0</v>
      </c>
      <c r="F42" s="65"/>
      <c r="G42" s="65"/>
      <c r="H42" s="65"/>
      <c r="I42" s="65"/>
      <c r="J42" s="65"/>
    </row>
    <row r="43" spans="2:12">
      <c r="B43" s="40">
        <v>0</v>
      </c>
      <c r="C43" s="30">
        <f>G24</f>
        <v>0</v>
      </c>
      <c r="D43" s="41">
        <v>0</v>
      </c>
      <c r="F43" s="131"/>
      <c r="G43" s="131"/>
      <c r="H43" s="131"/>
      <c r="I43" s="131"/>
      <c r="J43" s="131"/>
    </row>
    <row r="44" spans="2:12">
      <c r="B44" s="40">
        <v>0</v>
      </c>
      <c r="C44" s="50">
        <v>0</v>
      </c>
      <c r="D44" s="30">
        <f>G25</f>
        <v>8.8107299234267442E-11</v>
      </c>
      <c r="F44" s="129">
        <f t="array" ref="F44:G45">MMULT(MMULT(TRANSPOSE(L30:M32),B42:D44),F30:G32)</f>
        <v>8.8107299234267442E-11</v>
      </c>
      <c r="G44" s="130">
        <v>5.2864379540560467E-8</v>
      </c>
      <c r="H44" s="131"/>
      <c r="I44" s="129">
        <f t="array" ref="I44:J45">MMULT(MMULT(TRANSPOSE(F30:G32),B42:D44),L30:M32)</f>
        <v>8.8107299234267442E-11</v>
      </c>
      <c r="J44" s="130">
        <v>5.2864379540560467E-8</v>
      </c>
    </row>
    <row r="45" spans="2:12">
      <c r="C45" s="37" t="s">
        <v>234</v>
      </c>
      <c r="D45" s="50"/>
      <c r="F45" s="129">
        <v>5.2864379540560467E-8</v>
      </c>
      <c r="G45" s="130">
        <v>3.171862772433628E-5</v>
      </c>
      <c r="H45" s="131"/>
      <c r="I45" s="129">
        <v>5.2864379540560467E-8</v>
      </c>
      <c r="J45" s="130">
        <v>3.171862772433628E-5</v>
      </c>
    </row>
    <row r="46" spans="2:12">
      <c r="F46" s="131"/>
      <c r="G46" s="131"/>
      <c r="H46" s="131"/>
      <c r="I46" s="131"/>
      <c r="J46" s="131"/>
    </row>
    <row r="47" spans="2:12">
      <c r="F47" s="131"/>
      <c r="G47" s="131"/>
      <c r="H47" s="131"/>
      <c r="I47" s="131"/>
      <c r="J47" s="131"/>
    </row>
    <row r="48" spans="2:12">
      <c r="B48" s="108" t="s">
        <v>235</v>
      </c>
      <c r="D48" s="50"/>
      <c r="F48" s="134"/>
      <c r="G48" s="134"/>
      <c r="H48" s="134"/>
      <c r="I48" s="134"/>
      <c r="J48" s="134"/>
    </row>
    <row r="49" spans="2:14">
      <c r="B49" s="30">
        <f>F8</f>
        <v>1.2420633885366556E-23</v>
      </c>
      <c r="C49" s="50">
        <v>0</v>
      </c>
      <c r="D49" s="41">
        <v>0</v>
      </c>
      <c r="F49" s="132">
        <f t="array" ref="F49:G50">MMULT(MMULT(TRANSPOSE(F30:G32),B49:D51),F30:G32)</f>
        <v>1250</v>
      </c>
      <c r="G49" s="133">
        <v>750000</v>
      </c>
      <c r="H49" s="134"/>
      <c r="I49" s="134"/>
      <c r="J49" s="134"/>
    </row>
    <row r="50" spans="2:14">
      <c r="B50" s="40">
        <v>0</v>
      </c>
      <c r="C50" s="30">
        <f>F9</f>
        <v>624.99999999978684</v>
      </c>
      <c r="D50" s="41">
        <v>0</v>
      </c>
      <c r="F50" s="132">
        <v>750000</v>
      </c>
      <c r="G50" s="133">
        <v>450000000</v>
      </c>
      <c r="H50" s="134"/>
      <c r="I50" s="134"/>
      <c r="J50" s="134"/>
    </row>
    <row r="51" spans="2:14">
      <c r="B51" s="40">
        <v>0</v>
      </c>
      <c r="C51" s="50">
        <v>0</v>
      </c>
      <c r="D51" s="30">
        <f>F10</f>
        <v>625.00000000021316</v>
      </c>
      <c r="F51" s="65"/>
      <c r="G51" s="65"/>
      <c r="H51" s="65"/>
      <c r="I51" s="65"/>
      <c r="J51" s="65"/>
    </row>
    <row r="52" spans="2:14">
      <c r="C52" s="37" t="s">
        <v>234</v>
      </c>
      <c r="F52" s="65"/>
      <c r="G52" s="65"/>
      <c r="H52" s="65"/>
      <c r="I52" s="65"/>
      <c r="J52" s="65"/>
    </row>
    <row r="53" spans="2:14">
      <c r="F53" s="65"/>
      <c r="G53" s="65"/>
      <c r="H53" s="65"/>
      <c r="I53" s="65"/>
      <c r="J53" s="65"/>
    </row>
    <row r="55" spans="2:14">
      <c r="B55" s="109">
        <f t="array" ref="B55:C56">(F49:G50+1/2*(F36:G37+I36:J37+F40:G41+I40:J41))</f>
        <v>624.99999999982379</v>
      </c>
      <c r="C55" s="110">
        <v>374999.99999989429</v>
      </c>
      <c r="D55" s="65"/>
      <c r="E55" s="109">
        <f t="array" ref="E55:F56">MMULT(MMULT(Q11:R12,B55:C56),Q11:R12)</f>
        <v>3906.2499999987049</v>
      </c>
      <c r="F55" s="110">
        <v>-7.812499999997442</v>
      </c>
      <c r="H55" s="112">
        <f t="array" ref="H55:I56">3*E55:F56</f>
        <v>11718.749999996115</v>
      </c>
      <c r="I55" s="113">
        <v>-23.437499999992326</v>
      </c>
    </row>
    <row r="56" spans="2:14">
      <c r="B56" s="109">
        <v>374999.99999989429</v>
      </c>
      <c r="C56" s="110">
        <v>224999999.99993658</v>
      </c>
      <c r="D56" s="65"/>
      <c r="E56" s="109">
        <v>-7.8124999999975557</v>
      </c>
      <c r="F56" s="110">
        <v>1.5624999999995171E-2</v>
      </c>
      <c r="H56" s="112">
        <v>-23.437499999992667</v>
      </c>
      <c r="I56" s="113">
        <v>4.6874999999985512E-2</v>
      </c>
    </row>
    <row r="58" spans="2:14"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</row>
    <row r="60" spans="2:14">
      <c r="B60" s="50">
        <f t="array" ref="B60:C61">1/3*MMULT(MMULT(TRANSPOSE(L30:M32),B36:D38),I30:J32)</f>
        <v>-2.9369099744745797E-11</v>
      </c>
      <c r="C60" s="50">
        <v>-1.762145984684748E-8</v>
      </c>
      <c r="D60" s="50"/>
      <c r="E60" s="50">
        <f t="array" ref="E60:F61">1/3*MMULT(MMULT(TRANSPOSE(I30:J32),B30:D32),F30:G32)</f>
        <v>-208.3333333333627</v>
      </c>
      <c r="F60" s="50">
        <v>-125000.00000001761</v>
      </c>
      <c r="G60" s="50"/>
      <c r="H60" s="50">
        <f t="array" ref="H60:I61">B60:C61+E60:F61</f>
        <v>-208.33333333339206</v>
      </c>
      <c r="I60" s="50">
        <v>-125000.00000003523</v>
      </c>
      <c r="J60" s="50"/>
      <c r="K60" s="50">
        <f t="array" ref="K60:L61">F49:G50+1/1*H60:I61</f>
        <v>1041.6666666666079</v>
      </c>
      <c r="L60" s="50">
        <v>624999.99999996473</v>
      </c>
    </row>
    <row r="61" spans="2:14">
      <c r="B61" s="50">
        <v>-1.762145984684748E-8</v>
      </c>
      <c r="C61" s="50">
        <v>-1.0572875908108488E-5</v>
      </c>
      <c r="D61" s="50"/>
      <c r="E61" s="50">
        <v>-125000.00000001761</v>
      </c>
      <c r="F61" s="50">
        <v>-75000000.000010565</v>
      </c>
      <c r="G61" s="50"/>
      <c r="H61" s="50">
        <v>-125000.00000003523</v>
      </c>
      <c r="I61" s="50">
        <v>-75000000.000021145</v>
      </c>
      <c r="J61" s="50"/>
      <c r="K61" s="50">
        <v>624999.99999996473</v>
      </c>
      <c r="L61" s="50">
        <v>374999999.99997884</v>
      </c>
    </row>
    <row r="62" spans="2:14"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</row>
    <row r="63" spans="2:14">
      <c r="K63" s="50">
        <f t="array" ref="K63:L64">3*MMULT(MMULT(Q11:R12,K60:L61),Q11:R12)</f>
        <v>19531.249999999578</v>
      </c>
      <c r="L63" s="41">
        <v>-39.062499999999005</v>
      </c>
    </row>
    <row r="64" spans="2:14" ht="18.75">
      <c r="C64" s="72" t="s">
        <v>257</v>
      </c>
      <c r="D64" s="72" t="s">
        <v>259</v>
      </c>
      <c r="E64" s="72" t="s">
        <v>257</v>
      </c>
      <c r="F64" s="72"/>
      <c r="G64" s="72"/>
      <c r="K64" s="50">
        <v>-39.062499999997641</v>
      </c>
      <c r="L64" s="41">
        <v>7.812499999999506E-2</v>
      </c>
    </row>
    <row r="65" spans="3:9" ht="21.75">
      <c r="C65" s="127" t="s">
        <v>262</v>
      </c>
      <c r="D65" s="127" t="s">
        <v>260</v>
      </c>
      <c r="E65" s="127" t="s">
        <v>263</v>
      </c>
      <c r="F65" s="72"/>
      <c r="G65" s="72"/>
      <c r="I65">
        <f>4*(3/100)^(2/9)</f>
        <v>1.8350271422729856</v>
      </c>
    </row>
    <row r="66" spans="3:9" ht="18.75">
      <c r="C66" s="72" t="s">
        <v>256</v>
      </c>
      <c r="D66" s="72" t="s">
        <v>258</v>
      </c>
      <c r="E66" s="72" t="s">
        <v>261</v>
      </c>
      <c r="F66" s="72"/>
      <c r="G66" s="7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20</vt:i4>
      </vt:variant>
    </vt:vector>
  </HeadingPairs>
  <TitlesOfParts>
    <vt:vector size="41" baseType="lpstr">
      <vt:lpstr>Excel</vt:lpstr>
      <vt:lpstr>DataBase</vt:lpstr>
      <vt:lpstr>Ex1</vt:lpstr>
      <vt:lpstr>Ex1a</vt:lpstr>
      <vt:lpstr>Ex2</vt:lpstr>
      <vt:lpstr>Ex4</vt:lpstr>
      <vt:lpstr>Ex5</vt:lpstr>
      <vt:lpstr>Ex5a</vt:lpstr>
      <vt:lpstr>Ex5b</vt:lpstr>
      <vt:lpstr>Ex5c</vt:lpstr>
      <vt:lpstr>Ex6</vt:lpstr>
      <vt:lpstr>Ex7</vt:lpstr>
      <vt:lpstr>Ex7a</vt:lpstr>
      <vt:lpstr>Ex7b</vt:lpstr>
      <vt:lpstr>Ex7c</vt:lpstr>
      <vt:lpstr>Ex8</vt:lpstr>
      <vt:lpstr>Ex8a</vt:lpstr>
      <vt:lpstr>Ex8b</vt:lpstr>
      <vt:lpstr>Ex8c</vt:lpstr>
      <vt:lpstr>Newey-West</vt:lpstr>
      <vt:lpstr>Sheet1</vt:lpstr>
      <vt:lpstr>DataBase!Print_Area</vt:lpstr>
      <vt:lpstr>'Ex1'!Print_Area</vt:lpstr>
      <vt:lpstr>Ex1a!Print_Area</vt:lpstr>
      <vt:lpstr>'Ex2'!Print_Area</vt:lpstr>
      <vt:lpstr>'Ex4'!Print_Area</vt:lpstr>
      <vt:lpstr>'Ex5'!Print_Area</vt:lpstr>
      <vt:lpstr>Ex5a!Print_Area</vt:lpstr>
      <vt:lpstr>Ex5b!Print_Area</vt:lpstr>
      <vt:lpstr>Ex5c!Print_Area</vt:lpstr>
      <vt:lpstr>'Ex6'!Print_Area</vt:lpstr>
      <vt:lpstr>'Ex7'!Print_Area</vt:lpstr>
      <vt:lpstr>Ex7a!Print_Area</vt:lpstr>
      <vt:lpstr>Ex7b!Print_Area</vt:lpstr>
      <vt:lpstr>Ex7c!Print_Area</vt:lpstr>
      <vt:lpstr>'Ex8'!Print_Area</vt:lpstr>
      <vt:lpstr>Ex8a!Print_Area</vt:lpstr>
      <vt:lpstr>Ex8b!Print_Area</vt:lpstr>
      <vt:lpstr>Ex8c!Print_Area</vt:lpstr>
      <vt:lpstr>Excel!Print_Area</vt:lpstr>
      <vt:lpstr>'Newey-West'!Print_Area</vt:lpstr>
    </vt:vector>
  </TitlesOfParts>
  <Company>vaio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</dc:creator>
  <cp:lastModifiedBy>Pix</cp:lastModifiedBy>
  <cp:lastPrinted>2013-01-11T10:53:07Z</cp:lastPrinted>
  <dcterms:created xsi:type="dcterms:W3CDTF">2013-01-05T18:10:22Z</dcterms:created>
  <dcterms:modified xsi:type="dcterms:W3CDTF">2013-01-13T23:01:42Z</dcterms:modified>
</cp:coreProperties>
</file>